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35" windowHeight="8820" activeTab="0"/>
  </bookViews>
  <sheets>
    <sheet name="Export_Tari" sheetId="1" r:id="rId1"/>
    <sheet name="Import_Tari" sheetId="2" r:id="rId2"/>
    <sheet name="Balanta Comerciala_Tari" sheetId="3" r:id="rId3"/>
    <sheet name="Export_Moduri_Transport" sheetId="4" r:id="rId4"/>
    <sheet name="Import_Moduri_Transport" sheetId="5" r:id="rId5"/>
    <sheet name="Export_Grupe_Marfuri_CSCI" sheetId="6" r:id="rId6"/>
    <sheet name="Import_Grupe_Marfuri_CSCI" sheetId="7" r:id="rId7"/>
    <sheet name="Balanta_Comerciala_Gr_Marf_CSCI" sheetId="8" r:id="rId8"/>
  </sheets>
  <definedNames>
    <definedName name="_xlnm.Print_Titles" localSheetId="2">'Balanta Comerciala_Tari'!$3:$4</definedName>
    <definedName name="_xlnm.Print_Titles" localSheetId="7">'Balanta_Comerciala_Gr_Marf_CSCI'!$4:$5</definedName>
    <definedName name="_xlnm.Print_Titles" localSheetId="5">'Export_Grupe_Marfuri_CSCI'!$4:$6</definedName>
    <definedName name="_xlnm.Print_Titles" localSheetId="0">'Export_Tari'!$3:$5</definedName>
    <definedName name="_xlnm.Print_Titles" localSheetId="6">'Import_Grupe_Marfuri_CSCI'!$4:$6</definedName>
    <definedName name="_xlnm.Print_Titles" localSheetId="1">'Import_Tari'!$3:$5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<sst xmlns="http://schemas.openxmlformats.org/spreadsheetml/2006/main" count="829" uniqueCount="303">
  <si>
    <t>Structura, %</t>
  </si>
  <si>
    <t>Gradul de influenţă a ţărilor, grupelor de ţări  la creşterea (+),  scăderea (-) exporturilor, %</t>
  </si>
  <si>
    <t xml:space="preserve">      din care:</t>
  </si>
  <si>
    <t>Ţările Uniunii Europene (UE-28)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</si>
  <si>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</si>
  <si>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</si>
  <si>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</si>
  <si>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</si>
  <si>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</si>
  <si>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</si>
  <si>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</si>
  <si>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</si>
  <si>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</si>
  <si>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Ţările CSI</t>
  </si>
  <si>
    <t>Belarus</t>
  </si>
  <si>
    <t>Ucraina</t>
  </si>
  <si>
    <t>Kazahstan</t>
  </si>
  <si>
    <t>Azerbaidjan</t>
  </si>
  <si>
    <t>Uzbekistan</t>
  </si>
  <si>
    <t>Kîrgîzstan</t>
  </si>
  <si>
    <t>Turkmenistan</t>
  </si>
  <si>
    <t>Armenia</t>
  </si>
  <si>
    <t>Tadjikistan</t>
  </si>
  <si>
    <t>Celelalte ţări ale lumii</t>
  </si>
  <si>
    <t>Statele Unite ale Americii</t>
  </si>
  <si>
    <t>de 2,0 ori</t>
  </si>
  <si>
    <t>¹ În preţuri curente</t>
  </si>
  <si>
    <t xml:space="preserve">IMPORT – total      </t>
  </si>
  <si>
    <t xml:space="preserve">EXPORT – total      </t>
  </si>
  <si>
    <t xml:space="preserve">  din care:</t>
  </si>
  <si>
    <t>x</t>
  </si>
  <si>
    <t>conform Clasificării Standard de Comerţ Internaţional</t>
  </si>
  <si>
    <t>Produse alimentare şi animale vii</t>
  </si>
  <si>
    <t>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</si>
  <si>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</si>
  <si>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</si>
  <si>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</si>
  <si>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</si>
  <si>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</si>
  <si>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</si>
  <si>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</si>
  <si>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</si>
  <si>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</si>
  <si>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Băuturi şi tutun</t>
  </si>
  <si>
    <t>Băuturi (alcoolice şi nealcoolice)</t>
  </si>
  <si>
    <t>Tutun brut şi prelucrat</t>
  </si>
  <si>
    <t>Materiale brute necomestibile, exclusiv combustibili</t>
  </si>
  <si>
    <t>Piei crude, piei tăbăcite şi blănuri brute</t>
  </si>
  <si>
    <t>Seminţe şi fructe oleaginoase</t>
  </si>
  <si>
    <t>Cauciuc brut (inclusiv cauciuc sintetic şi regenerat)</t>
  </si>
  <si>
    <t>Lemn şi plută</t>
  </si>
  <si>
    <t>Pastă de hîrtie şi deşeuri de hîrtie</t>
  </si>
  <si>
    <t>Fibre textile (cu excepţia lînii în fuior şi a lînii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</si>
  <si>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</si>
  <si>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</si>
  <si>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</si>
  <si>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</si>
  <si>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Cărbune, cocs şi brichete</t>
  </si>
  <si>
    <t>Petrol, produse petroliere şi produse înrudite</t>
  </si>
  <si>
    <t>Gaz şi produse industriale obţinute din gaz</t>
  </si>
  <si>
    <t>Energie electrică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</si>
  <si>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</si>
  <si>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</si>
  <si>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</si>
  <si>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Alte uleiuri şi grăsimi animale sau vegetale prelucrate; ceară de origine animală sau vegetală</t>
  </si>
  <si>
    <t>Produse chimice şi produse derivate nespecificate în altă parte</t>
  </si>
  <si>
    <t>Produse chimice organice</t>
  </si>
  <si>
    <t>Produse chimice anorganice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</si>
  <si>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</si>
  <si>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</si>
  <si>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</si>
  <si>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</si>
  <si>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Materiale plastice sub forme primare</t>
  </si>
  <si>
    <t>Materiale plastice prelucrate</t>
  </si>
  <si>
    <t>Alte materiale şi produse chimice</t>
  </si>
  <si>
    <t>Mărfuri manufacturate, clasificate mai ales după materia primă</t>
  </si>
  <si>
    <t>Piele, altă piele şi blană prelucrate</t>
  </si>
  <si>
    <t>Cauciuc prelucrat</t>
  </si>
  <si>
    <t>Articole din lemn (exclusiv mobilă)</t>
  </si>
  <si>
    <t>Hîrtie, carton şi articole din pastă de celuloză, din hîrtie sau din carton</t>
  </si>
  <si>
    <t>Fire, ţesături, articole textile necuprinse în altă parte şi produse conexe</t>
  </si>
  <si>
    <t>Articole din minerale nemetalice</t>
  </si>
  <si>
    <t>Fier şi oţel</t>
  </si>
  <si>
    <t>Metale neferoase</t>
  </si>
  <si>
    <t>Articole prelucrate din metal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</si>
  <si>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</si>
  <si>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</si>
  <si>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</si>
  <si>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</si>
  <si>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</si>
  <si>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</si>
  <si>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</si>
  <si>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</si>
  <si>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</si>
  <si>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Alte echipamente de transport</t>
  </si>
  <si>
    <t>Articole manufacturate diverse</t>
  </si>
  <si>
    <t>Construcţii prefabricate; alte instalaţii şi accesorii pentru instalaţii sanitare, de încălzire şi de iluminat</t>
  </si>
  <si>
    <t>Mobilă şi părţile ei</t>
  </si>
  <si>
    <t>Articole de voiaj; sacoşe şi similare</t>
  </si>
  <si>
    <t>Îmbrăcăminte şi accesorii</t>
  </si>
  <si>
    <t>Încălţăminte</t>
  </si>
  <si>
    <t>Instrumente şi aparate, profesionale, ştiinţifice şi de control</t>
  </si>
  <si>
    <t>Aparate fotografice, echipamente şi furnituri de optică; ceasuri şi orologii</t>
  </si>
  <si>
    <t>Alte articole diverse</t>
  </si>
  <si>
    <t xml:space="preserve">       din care:</t>
  </si>
  <si>
    <t>Instrumente şi aparate profesionale, ştiinţifice şi de control</t>
  </si>
  <si>
    <t xml:space="preserve">    din care:</t>
  </si>
  <si>
    <t xml:space="preserve">Grăsimi şi uleiuri vegetale fixate, brute, rafinate sau fracţionate </t>
  </si>
  <si>
    <t>Alte uleiuri si grasimi animale sau vegetale prelucrate</t>
  </si>
  <si>
    <t>Maşini generatoare de putere şi echipamentele lor</t>
  </si>
  <si>
    <t>Coreea de Sud</t>
  </si>
  <si>
    <r>
      <t xml:space="preserve"> </t>
    </r>
    <r>
      <rPr>
        <b/>
        <sz val="9"/>
        <color indexed="8"/>
        <rFont val="Times New Roman"/>
        <family val="1"/>
      </rPr>
      <t>¹ În preţuri curente</t>
    </r>
  </si>
  <si>
    <t>Arabia Saudită</t>
  </si>
  <si>
    <t>Hong Kong, RAS a Chinei</t>
  </si>
  <si>
    <t>Africa de Sud</t>
  </si>
  <si>
    <t>de 2,4 ori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</si>
  <si>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</si>
  <si>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</si>
  <si>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</si>
  <si>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</si>
  <si>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</si>
  <si>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</si>
  <si>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</si>
  <si>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</si>
  <si>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</si>
  <si>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</si>
  <si>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</si>
  <si>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</si>
  <si>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</si>
  <si>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</si>
  <si>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</si>
  <si>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</si>
  <si>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</si>
  <si>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</si>
  <si>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</si>
  <si>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</si>
  <si>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</si>
  <si>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</si>
  <si>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</si>
  <si>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</si>
  <si>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</si>
  <si>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Macedonia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</si>
  <si>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</si>
  <si>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</si>
  <si>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</si>
  <si>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</si>
  <si>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</si>
  <si>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</si>
  <si>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</si>
  <si>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</si>
  <si>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</si>
  <si>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</si>
  <si>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</si>
  <si>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</si>
  <si>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</si>
  <si>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</si>
  <si>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Cote D'Ivoire</t>
  </si>
  <si>
    <t>Cambodjia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</si>
  <si>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</si>
  <si>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</si>
  <si>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</si>
  <si>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</si>
  <si>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</si>
  <si>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</si>
  <si>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</si>
  <si>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</si>
  <si>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</si>
  <si>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</si>
  <si>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</si>
  <si>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Sri Lanka</t>
  </si>
  <si>
    <t>Uruguay</t>
  </si>
  <si>
    <t>Tunisia</t>
  </si>
  <si>
    <t>Columbia</t>
  </si>
  <si>
    <t>Australia</t>
  </si>
  <si>
    <t>Noua Zeelandă</t>
  </si>
  <si>
    <t>de 2,1 ori</t>
  </si>
  <si>
    <t>de 2,8 ori</t>
  </si>
  <si>
    <t>2017¹</t>
  </si>
  <si>
    <t>Mongolia</t>
  </si>
  <si>
    <t>de 2,5 ori</t>
  </si>
  <si>
    <t>Peru</t>
  </si>
  <si>
    <t>Kenya</t>
  </si>
  <si>
    <t>de 2,2 ori</t>
  </si>
  <si>
    <t>mii dolari        SUA</t>
  </si>
  <si>
    <t>EXPORT - total</t>
  </si>
  <si>
    <t xml:space="preserve">IMPORT - total </t>
  </si>
  <si>
    <t>de 2,6 ori</t>
  </si>
  <si>
    <t>BALANŢA COMERCIALĂ – total, mii dolari SUA</t>
  </si>
  <si>
    <t>Franța</t>
  </si>
  <si>
    <t>Croația</t>
  </si>
  <si>
    <t>Oman</t>
  </si>
  <si>
    <t>Ghana</t>
  </si>
  <si>
    <t>Elveția</t>
  </si>
  <si>
    <t>Bosnia și Herțegovina</t>
  </si>
  <si>
    <t>de 3,1 ori</t>
  </si>
  <si>
    <t>Regatul Unit al Marii Britanii și Irlandei de Nord</t>
  </si>
  <si>
    <t>Federația Rusă</t>
  </si>
  <si>
    <t>Albania</t>
  </si>
  <si>
    <t>de 3,0 ori</t>
  </si>
  <si>
    <t>de 1,8 ori</t>
  </si>
  <si>
    <t>de 1,7 ori</t>
  </si>
  <si>
    <t>de 1,6 ori</t>
  </si>
  <si>
    <t>de 1,9 ori</t>
  </si>
  <si>
    <t>Gradul de influenţă a grupelor de mărfuri  la creşterea (+),  scăderea (-) exporturilor, %</t>
  </si>
  <si>
    <t>Panama</t>
  </si>
  <si>
    <t>ins.Virgine Britanice</t>
  </si>
  <si>
    <t>Qatar</t>
  </si>
  <si>
    <t xml:space="preserve">. </t>
  </si>
  <si>
    <t>Gibraltar</t>
  </si>
  <si>
    <t>Ponderea, %</t>
  </si>
  <si>
    <t>Swaziland</t>
  </si>
  <si>
    <t>de 2,9 ori</t>
  </si>
  <si>
    <t>de 2,3 ori</t>
  </si>
  <si>
    <t>Andorra</t>
  </si>
  <si>
    <t>de 3,7 ori</t>
  </si>
  <si>
    <t>2018¹</t>
  </si>
  <si>
    <t>mii dolari         SUA</t>
  </si>
  <si>
    <t>Kirgizstan</t>
  </si>
  <si>
    <t>Belize</t>
  </si>
  <si>
    <t>Angola</t>
  </si>
  <si>
    <t>Nepal</t>
  </si>
  <si>
    <t>de 5,9 ori</t>
  </si>
  <si>
    <t>de 3,2 ori</t>
  </si>
  <si>
    <t>de 5,5 ori</t>
  </si>
  <si>
    <t>de 436,7 ori</t>
  </si>
  <si>
    <t>de 4,3 ori</t>
  </si>
  <si>
    <t>ins. Faroe</t>
  </si>
  <si>
    <t>de 4,8 ori</t>
  </si>
  <si>
    <t>de 6,8 ori</t>
  </si>
  <si>
    <t>Transport maritim</t>
  </si>
  <si>
    <t>Transport feroviar</t>
  </si>
  <si>
    <t>Transport rutier</t>
  </si>
  <si>
    <t>Transport aerian</t>
  </si>
  <si>
    <t>Celelalte țări ale lumii</t>
  </si>
  <si>
    <t>Țările CSI</t>
  </si>
  <si>
    <t>Țările Uniunii Europene</t>
  </si>
  <si>
    <t>Expedieri poștale</t>
  </si>
  <si>
    <t>Instalații fixe de transport</t>
  </si>
  <si>
    <t>Autopropulsie</t>
  </si>
  <si>
    <r>
      <rPr>
        <b/>
        <sz val="12"/>
        <rFont val="Times New Roman"/>
        <family val="1"/>
      </rPr>
      <t xml:space="preserve">Anexa 1. </t>
    </r>
    <r>
      <rPr>
        <b/>
        <i/>
        <sz val="12"/>
        <rFont val="Times New Roman"/>
        <family val="1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</si>
  <si>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</rPr>
      <t xml:space="preserve">Anexa 2. </t>
    </r>
    <r>
      <rPr>
        <b/>
        <i/>
        <sz val="12"/>
        <color indexed="8"/>
        <rFont val="Times New Roman"/>
        <family val="1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</si>
  <si>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</rPr>
      <t xml:space="preserve">Anexa 3. </t>
    </r>
    <r>
      <rPr>
        <b/>
        <i/>
        <sz val="12"/>
        <color indexed="8"/>
        <rFont val="Times New Roman"/>
        <family val="1"/>
      </rPr>
      <t>Balanţa comercială structurată pe principalele ţări şi grupe de ţări</t>
    </r>
  </si>
  <si>
    <r>
      <rPr>
        <b/>
        <sz val="12"/>
        <color indexed="8"/>
        <rFont val="Times New Roman"/>
        <family val="1"/>
      </rPr>
      <t>Anexa 6.</t>
    </r>
    <r>
      <rPr>
        <b/>
        <i/>
        <sz val="12"/>
        <color indexed="8"/>
        <rFont val="Times New Roman"/>
        <family val="1"/>
      </rPr>
      <t xml:space="preserve"> Exporturile structurate pe grupe de mărfuri, </t>
    </r>
  </si>
  <si>
    <r>
      <rPr>
        <b/>
        <sz val="12"/>
        <color indexed="8"/>
        <rFont val="Times New Roman"/>
        <family val="1"/>
      </rPr>
      <t>Anexa 7.</t>
    </r>
    <r>
      <rPr>
        <b/>
        <i/>
        <sz val="12"/>
        <color indexed="8"/>
        <rFont val="Times New Roman"/>
        <family val="1"/>
      </rPr>
      <t xml:space="preserve"> Importurile structurate pe grupe de mărfuri, </t>
    </r>
  </si>
  <si>
    <r>
      <rPr>
        <b/>
        <sz val="12"/>
        <color indexed="8"/>
        <rFont val="Times New Roman"/>
        <family val="1"/>
      </rPr>
      <t xml:space="preserve">Anexa 8. </t>
    </r>
    <r>
      <rPr>
        <b/>
        <i/>
        <sz val="12"/>
        <color indexed="8"/>
        <rFont val="Times New Roman"/>
        <family val="1"/>
      </rPr>
      <t xml:space="preserve">Balanţa comercială structurată pe grupe de mărfuri, </t>
    </r>
  </si>
  <si>
    <t xml:space="preserve"> 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</si>
  <si>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</si>
  <si>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</si>
  <si>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Ianuarie-martie 2018</t>
  </si>
  <si>
    <t>în % faţă de ianuarie-martie 2017¹</t>
  </si>
  <si>
    <t>ianuarie-martie</t>
  </si>
  <si>
    <t>Ianuarie-martie</t>
  </si>
  <si>
    <t>Ianuarie-martie 2018    în % faţă de                          ianuarie-martie 2017¹</t>
  </si>
  <si>
    <t>Romania</t>
  </si>
  <si>
    <t>Regatul Unit al Marii Britanii si Irlandei de Nord</t>
  </si>
  <si>
    <t>Republica Ceha</t>
  </si>
  <si>
    <t>Croatia</t>
  </si>
  <si>
    <t>Federatia Rusa</t>
  </si>
  <si>
    <t>Elvetia</t>
  </si>
  <si>
    <t>Arabia Saudita</t>
  </si>
  <si>
    <t>Bosnia si Hertegovina</t>
  </si>
  <si>
    <t>Etiopia</t>
  </si>
  <si>
    <t>Senegal</t>
  </si>
  <si>
    <t>Mali</t>
  </si>
  <si>
    <t>Rep.Yemen</t>
  </si>
  <si>
    <t>Siria</t>
  </si>
  <si>
    <t>Kosovo</t>
  </si>
  <si>
    <t>Somalia</t>
  </si>
  <si>
    <t>de 106,4 ori</t>
  </si>
  <si>
    <t>de 3,4 ori</t>
  </si>
  <si>
    <t>de 25,3 ori</t>
  </si>
  <si>
    <t>ins.Faroe</t>
  </si>
  <si>
    <t>San Marino</t>
  </si>
  <si>
    <t>Noua Zeelanda</t>
  </si>
  <si>
    <t>Madagascar</t>
  </si>
  <si>
    <t>ins.Folkland</t>
  </si>
  <si>
    <t>de 40,6 ori</t>
  </si>
  <si>
    <t>Uganda</t>
  </si>
  <si>
    <t>ins. Folkland</t>
  </si>
  <si>
    <t>Rep. Yemen</t>
  </si>
  <si>
    <t>de 6,4 ori</t>
  </si>
  <si>
    <t>de 10,5 ori</t>
  </si>
  <si>
    <t>de 5,6 ori</t>
  </si>
  <si>
    <t>de 11,1 ori</t>
  </si>
  <si>
    <t>de 8,2 ori</t>
  </si>
  <si>
    <t>de 119,0 ori</t>
  </si>
  <si>
    <t>de 20,9 ori</t>
  </si>
  <si>
    <t>de 1247,7 ori</t>
  </si>
  <si>
    <t>de 3,3 ori</t>
  </si>
  <si>
    <t>de 8,8 ori</t>
  </si>
  <si>
    <t>de 14,8 ori</t>
  </si>
  <si>
    <t>de 6,6 ori</t>
  </si>
  <si>
    <t>de 6,9 ori</t>
  </si>
  <si>
    <t>de 7570,9 ori</t>
  </si>
  <si>
    <t>de 14,0 ori</t>
  </si>
  <si>
    <t>de 878,3 ori</t>
  </si>
  <si>
    <t>de 2,7 ori</t>
  </si>
  <si>
    <t>de 46,2 ori</t>
  </si>
  <si>
    <t>de 4,2 ori</t>
  </si>
  <si>
    <t>de 10,4 ori</t>
  </si>
  <si>
    <r>
      <rPr>
        <b/>
        <sz val="12"/>
        <rFont val="Times New Roman"/>
        <family val="1"/>
      </rPr>
      <t xml:space="preserve">Anexa 4. </t>
    </r>
    <r>
      <rPr>
        <b/>
        <i/>
        <sz val="12"/>
        <rFont val="Times New Roman"/>
        <family val="1"/>
      </rPr>
      <t xml:space="preserve">Exporturile structurate pe moduri de transport a mărfurilor și grupe de ţări </t>
    </r>
  </si>
  <si>
    <r>
      <rPr>
        <b/>
        <sz val="12"/>
        <rFont val="Times New Roman"/>
        <family val="1"/>
      </rPr>
      <t>Anexa 5.</t>
    </r>
    <r>
      <rPr>
        <b/>
        <i/>
        <sz val="12"/>
        <rFont val="Times New Roman"/>
        <family val="1"/>
      </rPr>
      <t xml:space="preserve"> Importurile structurate pe moduri de transport a mărfurilor și grupe de ţări</t>
    </r>
  </si>
  <si>
    <t>mii dolari SUA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</si>
</sst>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61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65" fontId="14" fillId="0" borderId="0" xfId="0" applyNumberFormat="1" applyFont="1" applyFill="1" applyAlignment="1" applyProtection="1">
      <alignment horizontal="right"/>
      <protection/>
    </xf>
    <xf numFmtId="165" fontId="11" fillId="0" borderId="0" xfId="0" applyNumberFormat="1" applyFont="1" applyFill="1" applyAlignment="1" applyProtection="1">
      <alignment horizontal="right"/>
      <protection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4" fontId="11" fillId="0" borderId="0" xfId="0" applyNumberFormat="1" applyFont="1" applyFill="1" applyAlignment="1" applyProtection="1">
      <alignment horizontal="right"/>
      <protection/>
    </xf>
    <xf numFmtId="164" fontId="11" fillId="0" borderId="0" xfId="0" applyNumberFormat="1" applyFont="1" applyFill="1" applyAlignment="1" applyProtection="1">
      <alignment horizontal="right"/>
      <protection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7" fillId="0" borderId="0" xfId="0" applyFont="1" applyAlignment="1">
      <alignment/>
    </xf>
    <xf numFmtId="4" fontId="14" fillId="0" borderId="0" xfId="0" applyNumberFormat="1" applyFont="1" applyFill="1" applyAlignment="1" applyProtection="1">
      <alignment horizontal="right" vertical="top"/>
      <protection/>
    </xf>
    <xf numFmtId="4" fontId="11" fillId="0" borderId="0" xfId="0" applyNumberFormat="1" applyFont="1" applyFill="1" applyAlignment="1" applyProtection="1">
      <alignment horizontal="right" vertical="top"/>
      <protection/>
    </xf>
    <xf numFmtId="4" fontId="14" fillId="0" borderId="0" xfId="0" applyNumberFormat="1" applyFont="1" applyFill="1" applyBorder="1" applyAlignment="1" applyProtection="1">
      <alignment horizontal="right" vertical="top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2" fontId="16" fillId="0" borderId="0" xfId="0" applyNumberFormat="1" applyFont="1" applyFill="1" applyAlignment="1" applyProtection="1">
      <alignment horizontal="right"/>
      <protection/>
    </xf>
    <xf numFmtId="0" fontId="15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right" vertical="top" wrapText="1"/>
    </xf>
    <xf numFmtId="4" fontId="14" fillId="0" borderId="0" xfId="0" applyNumberFormat="1" applyFont="1" applyBorder="1" applyAlignment="1">
      <alignment horizontal="right" vertical="top" wrapText="1"/>
    </xf>
    <xf numFmtId="4" fontId="14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 indent="1"/>
    </xf>
    <xf numFmtId="0" fontId="5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38" fontId="11" fillId="0" borderId="0" xfId="0" applyNumberFormat="1" applyFont="1" applyFill="1" applyAlignment="1" applyProtection="1">
      <alignment horizontal="left" vertical="top" wrapText="1"/>
      <protection/>
    </xf>
    <xf numFmtId="2" fontId="5" fillId="0" borderId="0" xfId="0" applyNumberFormat="1" applyFont="1" applyAlignment="1">
      <alignment horizontal="right" vertical="top" wrapText="1"/>
    </xf>
    <xf numFmtId="4" fontId="14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Alignment="1">
      <alignment/>
    </xf>
    <xf numFmtId="4" fontId="15" fillId="0" borderId="11" xfId="0" applyNumberFormat="1" applyFont="1" applyFill="1" applyBorder="1" applyAlignment="1" applyProtection="1">
      <alignment horizontal="right" vertical="top"/>
      <protection/>
    </xf>
    <xf numFmtId="0" fontId="1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4" fillId="0" borderId="0" xfId="0" applyNumberFormat="1" applyFont="1" applyFill="1" applyAlignment="1" applyProtection="1">
      <alignment horizontal="left" vertical="top" wrapText="1"/>
      <protection/>
    </xf>
    <xf numFmtId="0" fontId="11" fillId="0" borderId="0" xfId="0" applyNumberFormat="1" applyFont="1" applyFill="1" applyAlignment="1" applyProtection="1">
      <alignment horizontal="left" vertical="top" wrapText="1"/>
      <protection/>
    </xf>
    <xf numFmtId="4" fontId="15" fillId="0" borderId="11" xfId="0" applyNumberFormat="1" applyFont="1" applyFill="1" applyBorder="1" applyAlignment="1" applyProtection="1">
      <alignment horizontal="right" vertical="top" wrapText="1"/>
      <protection/>
    </xf>
    <xf numFmtId="4" fontId="14" fillId="0" borderId="0" xfId="0" applyNumberFormat="1" applyFont="1" applyFill="1" applyAlignment="1" applyProtection="1">
      <alignment horizontal="right" vertical="top" wrapText="1"/>
      <protection/>
    </xf>
    <xf numFmtId="4" fontId="11" fillId="0" borderId="0" xfId="0" applyNumberFormat="1" applyFont="1" applyFill="1" applyAlignment="1" applyProtection="1">
      <alignment horizontal="right" vertical="top" wrapText="1"/>
      <protection/>
    </xf>
    <xf numFmtId="4" fontId="15" fillId="0" borderId="0" xfId="0" applyNumberFormat="1" applyFont="1" applyFill="1" applyAlignment="1" applyProtection="1">
      <alignment horizontal="right" vertical="top" wrapText="1"/>
      <protection/>
    </xf>
    <xf numFmtId="0" fontId="15" fillId="0" borderId="0" xfId="0" applyFont="1" applyAlignment="1">
      <alignment horizontal="right" vertical="top" wrapText="1"/>
    </xf>
    <xf numFmtId="2" fontId="15" fillId="0" borderId="0" xfId="0" applyNumberFormat="1" applyFont="1" applyAlignment="1">
      <alignment horizontal="right" vertical="top" wrapText="1"/>
    </xf>
    <xf numFmtId="2" fontId="11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2" fontId="24" fillId="0" borderId="0" xfId="0" applyNumberFormat="1" applyFont="1" applyAlignment="1">
      <alignment horizontal="right" vertical="top" wrapText="1"/>
    </xf>
    <xf numFmtId="2" fontId="14" fillId="0" borderId="0" xfId="0" applyNumberFormat="1" applyFont="1" applyAlignment="1">
      <alignment horizontal="right" vertical="top" wrapText="1"/>
    </xf>
    <xf numFmtId="4" fontId="14" fillId="0" borderId="0" xfId="0" applyNumberFormat="1" applyFont="1" applyFill="1" applyBorder="1" applyAlignment="1" applyProtection="1">
      <alignment horizontal="right" vertical="top" wrapText="1"/>
      <protection/>
    </xf>
    <xf numFmtId="0" fontId="9" fillId="0" borderId="11" xfId="0" applyFont="1" applyBorder="1" applyAlignment="1">
      <alignment vertical="top" wrapText="1"/>
    </xf>
    <xf numFmtId="0" fontId="20" fillId="0" borderId="0" xfId="0" applyFont="1" applyAlignment="1">
      <alignment horizontal="center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  <cellStyle name="Обычный 3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95"/>
  <sheetViews>
    <sheetView tabSelected="1" zoomScalePageLayoutView="0" workbookViewId="0" topLeftCell="A1">
      <selection activeCell="K20" sqref="K20"/>
    </sheetView>
  </sheetViews>
  <sheetFormatPr defaultColWidth="9.00390625" defaultRowHeight="15.75"/>
  <cols>
    <col min="1" max="1" width="33.375" style="16" customWidth="1"/>
    <col min="2" max="2" width="11.125" style="16" customWidth="1"/>
    <col min="3" max="3" width="10.00390625" style="16" customWidth="1"/>
    <col min="4" max="4" width="7.875" style="16" customWidth="1"/>
    <col min="5" max="5" width="7.625" style="16" customWidth="1"/>
    <col min="6" max="7" width="9.75390625" style="16" customWidth="1"/>
  </cols>
  <sheetData>
    <row r="1" spans="1:7" ht="15.75">
      <c r="A1" s="66" t="s">
        <v>239</v>
      </c>
      <c r="B1" s="66"/>
      <c r="C1" s="66"/>
      <c r="D1" s="66"/>
      <c r="E1" s="66"/>
      <c r="F1" s="66"/>
      <c r="G1" s="66"/>
    </row>
    <row r="3" spans="1:7" ht="55.5" customHeight="1">
      <c r="A3" s="67"/>
      <c r="B3" s="70" t="s">
        <v>248</v>
      </c>
      <c r="C3" s="71"/>
      <c r="D3" s="70" t="s">
        <v>209</v>
      </c>
      <c r="E3" s="71"/>
      <c r="F3" s="72" t="s">
        <v>1</v>
      </c>
      <c r="G3" s="73"/>
    </row>
    <row r="4" spans="1:7" ht="27" customHeight="1">
      <c r="A4" s="68"/>
      <c r="B4" s="74" t="s">
        <v>183</v>
      </c>
      <c r="C4" s="76" t="s">
        <v>249</v>
      </c>
      <c r="D4" s="78" t="s">
        <v>250</v>
      </c>
      <c r="E4" s="78"/>
      <c r="F4" s="78" t="s">
        <v>250</v>
      </c>
      <c r="G4" s="70"/>
    </row>
    <row r="5" spans="1:7" ht="31.5" customHeight="1">
      <c r="A5" s="69"/>
      <c r="B5" s="75"/>
      <c r="C5" s="77"/>
      <c r="D5" s="48">
        <v>2017</v>
      </c>
      <c r="E5" s="48">
        <v>2018</v>
      </c>
      <c r="F5" s="48" t="s">
        <v>177</v>
      </c>
      <c r="G5" s="44" t="s">
        <v>215</v>
      </c>
    </row>
    <row r="6" spans="1:7" ht="15.75" customHeight="1">
      <c r="A6" s="30" t="s">
        <v>28</v>
      </c>
      <c r="B6" s="53">
        <f>IF(678228.23986="","-",678228.23986)</f>
        <v>678228.23986</v>
      </c>
      <c r="C6" s="53">
        <f>IF(528166.929="","-",678228.23986/528166.929*100)</f>
        <v>128.41172035214646</v>
      </c>
      <c r="D6" s="53">
        <v>100</v>
      </c>
      <c r="E6" s="53">
        <v>100</v>
      </c>
      <c r="F6" s="53">
        <f>IF(416515.52507="","-",(528166.929-416515.52507)/416515.52507*100)</f>
        <v>26.806060569107427</v>
      </c>
      <c r="G6" s="53">
        <f>IF(528166.929="","-",(678228.23986-528166.929)/528166.929*100)</f>
        <v>28.411720352146464</v>
      </c>
    </row>
    <row r="7" spans="1:7" ht="13.5" customHeight="1">
      <c r="A7" s="14" t="s">
        <v>2</v>
      </c>
      <c r="B7" s="31"/>
      <c r="C7" s="32"/>
      <c r="D7" s="33"/>
      <c r="E7" s="33"/>
      <c r="F7" s="33"/>
      <c r="G7" s="33"/>
    </row>
    <row r="8" spans="1:7" ht="15.75" customHeight="1">
      <c r="A8" s="15" t="s">
        <v>3</v>
      </c>
      <c r="B8" s="54">
        <f>IF(454658.46394="","-",454658.46394)</f>
        <v>454658.46394</v>
      </c>
      <c r="C8" s="54">
        <f>IF(335633.9327="","-",454658.46394/335633.9327*100)</f>
        <v>135.46260364156558</v>
      </c>
      <c r="D8" s="54">
        <f>IF(335633.9327="","-",335633.9327/528166.929*100)</f>
        <v>63.54694212594292</v>
      </c>
      <c r="E8" s="54">
        <f>IF(454658.46394="","-",454658.46394/678228.23986*100)</f>
        <v>67.03620362871511</v>
      </c>
      <c r="F8" s="54">
        <f>IF(416515.52507="","-",(335633.9327-265545.71582)/416515.52507*100)</f>
        <v>16.827275974459997</v>
      </c>
      <c r="G8" s="54">
        <f>IF(528166.929="","-",(454658.46394-335633.9327)/528166.929*100)</f>
        <v>22.535400212458207</v>
      </c>
    </row>
    <row r="9" spans="1:7" s="26" customFormat="1" ht="15.75">
      <c r="A9" s="39" t="s">
        <v>4</v>
      </c>
      <c r="B9" s="55">
        <f>IF(166023.41543="","-",166023.41543)</f>
        <v>166023.41543</v>
      </c>
      <c r="C9" s="55">
        <f>IF(OR(128308.59483="",166023.41543=""),"-",166023.41543/128308.59483*100)</f>
        <v>129.39383807450272</v>
      </c>
      <c r="D9" s="55">
        <f>IF(128308.59483="","-",128308.59483/528166.929*100)</f>
        <v>24.293189858163196</v>
      </c>
      <c r="E9" s="55">
        <f>IF(166023.41543="","-",166023.41543/678228.23986*100)</f>
        <v>24.478988882012725</v>
      </c>
      <c r="F9" s="55">
        <f>IF(OR(416515.52507="",99257.81289="",128308.59483=""),"-",(128308.59483-99257.81289)/416515.52507*100)</f>
        <v>6.974717673517139</v>
      </c>
      <c r="G9" s="55">
        <f>IF(OR(528166.929="",166023.41543="",128308.59483=""),"-",(166023.41543-128308.59483)/528166.929*100)</f>
        <v>7.140700890040011</v>
      </c>
    </row>
    <row r="10" spans="1:7" s="26" customFormat="1" ht="15.75">
      <c r="A10" s="39" t="s">
        <v>5</v>
      </c>
      <c r="B10" s="55">
        <f>IF(80249.65459="","-",80249.65459)</f>
        <v>80249.65459</v>
      </c>
      <c r="C10" s="55" t="s">
        <v>200</v>
      </c>
      <c r="D10" s="55">
        <f>IF(47994.71118="","-",47994.71118/528166.929*100)</f>
        <v>9.08703452351141</v>
      </c>
      <c r="E10" s="55">
        <f>IF(80249.65459="","-",80249.65459/678228.23986*100)</f>
        <v>11.832249068037209</v>
      </c>
      <c r="F10" s="55">
        <f>IF(OR(416515.52507="",39966.67673="",47994.71118=""),"-",(47994.71118-39966.67673)/416515.52507*100)</f>
        <v>1.927427422699502</v>
      </c>
      <c r="G10" s="55">
        <f>IF(OR(528166.929="",80249.65459="",47994.71118=""),"-",(80249.65459-47994.71118)/528166.929*100)</f>
        <v>6.106960061105986</v>
      </c>
    </row>
    <row r="11" spans="1:7" s="26" customFormat="1" ht="15.75">
      <c r="A11" s="39" t="s">
        <v>6</v>
      </c>
      <c r="B11" s="55">
        <f>IF(60501.11789="","-",60501.11789)</f>
        <v>60501.11789</v>
      </c>
      <c r="C11" s="55" t="s">
        <v>200</v>
      </c>
      <c r="D11" s="55">
        <f>IF(36444.30763="","-",36444.30763/528166.929*100)</f>
        <v>6.900149484747464</v>
      </c>
      <c r="E11" s="55">
        <f>IF(60501.11789="","-",60501.11789/678228.23986*100)</f>
        <v>8.920465756850328</v>
      </c>
      <c r="F11" s="55">
        <f>IF(OR(416515.52507="",28725.24007="",36444.30763=""),"-",(36444.30763-28725.24007)/416515.52507*100)</f>
        <v>1.8532484614355562</v>
      </c>
      <c r="G11" s="55">
        <f>IF(OR(528166.929="",60501.11789="",36444.30763=""),"-",(60501.11789-36444.30763)/528166.929*100)</f>
        <v>4.5547740570481645</v>
      </c>
    </row>
    <row r="12" spans="1:7" s="26" customFormat="1" ht="15.75">
      <c r="A12" s="39" t="s">
        <v>195</v>
      </c>
      <c r="B12" s="55">
        <f>IF(25975.85093="","-",25975.85093)</f>
        <v>25975.85093</v>
      </c>
      <c r="C12" s="55">
        <f>IF(OR(31780.8108="",25975.85093=""),"-",25975.85093/31780.8108*100)</f>
        <v>81.73438712268474</v>
      </c>
      <c r="D12" s="55">
        <f>IF(31780.8108="","-",31780.8108/528166.929*100)</f>
        <v>6.01719059922436</v>
      </c>
      <c r="E12" s="55">
        <f>IF(25975.85093="","-",25975.85093/678228.23986*100)</f>
        <v>3.8299571447160536</v>
      </c>
      <c r="F12" s="55">
        <f>IF(OR(416515.52507="",26686.90116="",31780.8108=""),"-",(31780.8108-26686.90116)/416515.52507*100)</f>
        <v>1.222981937862679</v>
      </c>
      <c r="G12" s="55">
        <f>IF(OR(528166.929="",25975.85093="",31780.8108=""),"-",(25975.85093-31780.8108)/528166.929*100)</f>
        <v>-1.099076740944528</v>
      </c>
    </row>
    <row r="13" spans="1:7" s="26" customFormat="1" ht="15.75">
      <c r="A13" s="39" t="s">
        <v>7</v>
      </c>
      <c r="B13" s="55">
        <f>IF(22591.772="","-",22591.772)</f>
        <v>22591.772</v>
      </c>
      <c r="C13" s="55">
        <f>IF(OR(17178.68627="",22591.772=""),"-",22591.772/17178.68627*100)</f>
        <v>131.51047550972012</v>
      </c>
      <c r="D13" s="55">
        <f>IF(17178.68627="","-",17178.68627/528166.929*100)</f>
        <v>3.2525107739185994</v>
      </c>
      <c r="E13" s="55">
        <f>IF(22591.772="","-",22591.772/678228.23986*100)</f>
        <v>3.330998426822127</v>
      </c>
      <c r="F13" s="55">
        <f>IF(OR(416515.52507="",15444.73409="",17178.68627=""),"-",(17178.68627-15444.73409)/416515.52507*100)</f>
        <v>0.41629953162216193</v>
      </c>
      <c r="G13" s="55">
        <f>IF(OR(528166.929="",22591.772="",17178.68627=""),"-",(22591.772-17178.68627)/528166.929*100)</f>
        <v>1.0248816108666285</v>
      </c>
    </row>
    <row r="14" spans="1:7" s="26" customFormat="1" ht="15.75">
      <c r="A14" s="39" t="s">
        <v>8</v>
      </c>
      <c r="B14" s="55">
        <f>IF(14666.10081="","-",14666.10081)</f>
        <v>14666.10081</v>
      </c>
      <c r="C14" s="55">
        <f>IF(OR(17711.22604="",14666.10081=""),"-",14666.10081/17711.22604*100)</f>
        <v>82.80680725816087</v>
      </c>
      <c r="D14" s="55">
        <f>IF(17711.22604="","-",17711.22604/528166.929*100)</f>
        <v>3.3533387017497267</v>
      </c>
      <c r="E14" s="55">
        <f>IF(14666.10081="","-",14666.10081/678228.23986*100)</f>
        <v>2.1624137639900365</v>
      </c>
      <c r="F14" s="55">
        <f>IF(OR(416515.52507="",9792.55919="",17711.22604=""),"-",(17711.22604-9792.55919)/416515.52507*100)</f>
        <v>1.901169673968139</v>
      </c>
      <c r="G14" s="55">
        <f>IF(OR(528166.929="",14666.10081="",17711.22604=""),"-",(14666.10081-17711.22604)/528166.929*100)</f>
        <v>-0.5765459862785164</v>
      </c>
    </row>
    <row r="15" spans="1:7" s="28" customFormat="1" ht="15.75">
      <c r="A15" s="39" t="s">
        <v>188</v>
      </c>
      <c r="B15" s="55">
        <f>IF(13842.11283="","-",13842.11283)</f>
        <v>13842.11283</v>
      </c>
      <c r="C15" s="55">
        <f>IF(OR(11015.03484="",13842.11283=""),"-",13842.11283/11015.03484*100)</f>
        <v>125.66562912478267</v>
      </c>
      <c r="D15" s="55">
        <f>IF(11015.03484="","-",11015.03484/528166.929*100)</f>
        <v>2.085521496178342</v>
      </c>
      <c r="E15" s="55">
        <f>IF(13842.11283="","-",13842.11283/678228.23986*100)</f>
        <v>2.0409225119934984</v>
      </c>
      <c r="F15" s="55">
        <f>IF(OR(416515.52507="",12579.96854="",11015.03484=""),"-",(11015.03484-12579.96854)/416515.52507*100)</f>
        <v>-0.37572037674633985</v>
      </c>
      <c r="G15" s="55">
        <f>IF(OR(528166.929="",13842.11283="",11015.03484=""),"-",(13842.11283-11015.03484)/528166.929*100)</f>
        <v>0.5352622125267521</v>
      </c>
    </row>
    <row r="16" spans="1:7" s="26" customFormat="1" ht="15.75">
      <c r="A16" s="39" t="s">
        <v>116</v>
      </c>
      <c r="B16" s="55">
        <f>IF(11127.22212="","-",11127.22212)</f>
        <v>11127.22212</v>
      </c>
      <c r="C16" s="55" t="s">
        <v>199</v>
      </c>
      <c r="D16" s="55">
        <f>IF(6225.4017="","-",6225.4017/528166.929*100)</f>
        <v>1.1786807083485533</v>
      </c>
      <c r="E16" s="55">
        <f>IF(11127.22212="","-",11127.22212/678228.23986*100)</f>
        <v>1.6406309065362545</v>
      </c>
      <c r="F16" s="55">
        <f>IF(OR(416515.52507="",799.622="",6225.4017=""),"-",(6225.4017-799.622)/416515.52507*100)</f>
        <v>1.3026596545442426</v>
      </c>
      <c r="G16" s="55">
        <f>IF(OR(528166.929="",11127.22212="",6225.4017=""),"-",(11127.22212-6225.4017)/528166.929*100)</f>
        <v>0.9280816633636674</v>
      </c>
    </row>
    <row r="17" spans="1:7" s="26" customFormat="1" ht="15.75">
      <c r="A17" s="39" t="s">
        <v>10</v>
      </c>
      <c r="B17" s="55">
        <f>IF(11115.96788="","-",11115.96788)</f>
        <v>11115.96788</v>
      </c>
      <c r="C17" s="55">
        <f>IF(OR(7540.28145="",11115.96788=""),"-",11115.96788/7540.28145*100)</f>
        <v>147.4211268334022</v>
      </c>
      <c r="D17" s="55">
        <f>IF(7540.28145="","-",7540.28145/528166.929*100)</f>
        <v>1.4276322571495197</v>
      </c>
      <c r="E17" s="55">
        <f>IF(11115.96788="","-",11115.96788/678228.23986*100)</f>
        <v>1.6389715477336302</v>
      </c>
      <c r="F17" s="55">
        <f>IF(OR(416515.52507="",5448.55195="",7540.28145=""),"-",(7540.28145-5448.55195)/416515.52507*100)</f>
        <v>0.5021972469449878</v>
      </c>
      <c r="G17" s="55">
        <f>IF(OR(528166.929="",11115.96788="",7540.28145=""),"-",(11115.96788-7540.28145)/528166.929*100)</f>
        <v>0.6769993033774365</v>
      </c>
    </row>
    <row r="18" spans="1:7" s="26" customFormat="1" ht="15.75">
      <c r="A18" s="39" t="s">
        <v>11</v>
      </c>
      <c r="B18" s="55">
        <f>IF(10754.96805="","-",10754.96805)</f>
        <v>10754.96805</v>
      </c>
      <c r="C18" s="55" t="s">
        <v>25</v>
      </c>
      <c r="D18" s="55">
        <f>IF(5345.50393="","-",5345.50393/528166.929*100)</f>
        <v>1.0120860728862484</v>
      </c>
      <c r="E18" s="55">
        <f>IF(10754.96805="","-",10754.96805/678228.23986*100)</f>
        <v>1.5857446531893222</v>
      </c>
      <c r="F18" s="55">
        <f>IF(OR(416515.52507="",4212.35812="",5345.50393=""),"-",(5345.50393-4212.35812)/416515.52507*100)</f>
        <v>0.2720536791058539</v>
      </c>
      <c r="G18" s="55">
        <f>IF(OR(528166.929="",10754.96805="",5345.50393=""),"-",(10754.96805-5345.50393)/528166.929*100)</f>
        <v>1.0241959166663386</v>
      </c>
    </row>
    <row r="19" spans="1:7" s="26" customFormat="1" ht="15.75">
      <c r="A19" s="39" t="s">
        <v>12</v>
      </c>
      <c r="B19" s="55">
        <f>IF(10573.8401="","-",10573.8401)</f>
        <v>10573.8401</v>
      </c>
      <c r="C19" s="55" t="s">
        <v>200</v>
      </c>
      <c r="D19" s="55">
        <f>IF(6316.39101="","-",6316.39101/528166.929*100)</f>
        <v>1.1959080857181046</v>
      </c>
      <c r="E19" s="55">
        <f>IF(10573.8401="","-",10573.8401/678228.23986*100)</f>
        <v>1.559038606558561</v>
      </c>
      <c r="F19" s="55">
        <f>IF(OR(416515.52507="",4808.97602="",6316.39101=""),"-",(6316.39101-4808.97602)/416515.52507*100)</f>
        <v>0.3619108770907549</v>
      </c>
      <c r="G19" s="55">
        <f>IF(OR(528166.929="",10573.8401="",6316.39101=""),"-",(10573.8401-6316.39101)/528166.929*100)</f>
        <v>0.806080209917876</v>
      </c>
    </row>
    <row r="20" spans="1:9" s="26" customFormat="1" ht="15.75">
      <c r="A20" s="39" t="s">
        <v>9</v>
      </c>
      <c r="B20" s="55">
        <f>IF(9851.9301="","-",9851.9301)</f>
        <v>9851.9301</v>
      </c>
      <c r="C20" s="55">
        <f>IF(OR(6896.83528="",9851.9301=""),"-",9851.9301/6896.83528*100)</f>
        <v>142.8471132052323</v>
      </c>
      <c r="D20" s="55">
        <f>IF(6896.83528="","-",6896.83528/528166.929*100)</f>
        <v>1.3058059680219016</v>
      </c>
      <c r="E20" s="55">
        <f>IF(9851.9301="","-",9851.9301/678228.23986*100)</f>
        <v>1.4525980372084828</v>
      </c>
      <c r="F20" s="55">
        <f>IF(OR(416515.52507="",7363.75506="",6896.83528=""),"-",(6896.83528-7363.75506)/416515.52507*100)</f>
        <v>-0.11210141084693763</v>
      </c>
      <c r="G20" s="55">
        <f>IF(OR(528166.929="",9851.9301="",6896.83528=""),"-",(9851.9301-6896.83528)/528166.929*100)</f>
        <v>0.5595001613590236</v>
      </c>
      <c r="I20" s="26" t="s">
        <v>245</v>
      </c>
    </row>
    <row r="21" spans="1:7" s="26" customFormat="1" ht="15.75">
      <c r="A21" s="39" t="s">
        <v>117</v>
      </c>
      <c r="B21" s="55">
        <f>IF(3964.71934="","-",3964.71934)</f>
        <v>3964.71934</v>
      </c>
      <c r="C21" s="55">
        <f>IF(OR(3140.79192="",3964.71934=""),"-",3964.71934/3140.79192*100)</f>
        <v>126.23311066082977</v>
      </c>
      <c r="D21" s="55">
        <f>IF(3140.79192="","-",3140.79192/528166.929*100)</f>
        <v>0.5946589510908208</v>
      </c>
      <c r="E21" s="55">
        <f>IF(3964.71934="","-",3964.71934/678228.23986*100)</f>
        <v>0.5845700764123887</v>
      </c>
      <c r="F21" s="55">
        <f>IF(OR(416515.52507="",2062.53613="",3140.79192=""),"-",(3140.79192-2062.53613)/416515.52507*100)</f>
        <v>0.25887529398064757</v>
      </c>
      <c r="G21" s="55">
        <f>IF(OR(528166.929="",3964.71934="",3140.79192=""),"-",(3964.71934-3140.79192)/528166.929*100)</f>
        <v>0.1559975406941846</v>
      </c>
    </row>
    <row r="22" spans="1:7" s="16" customFormat="1" ht="15.75">
      <c r="A22" s="39" t="s">
        <v>120</v>
      </c>
      <c r="B22" s="55">
        <f>IF(3503.96933="","-",3503.96933)</f>
        <v>3503.96933</v>
      </c>
      <c r="C22" s="55" t="s">
        <v>175</v>
      </c>
      <c r="D22" s="55">
        <f>IF(1649.1807="","-",1649.1807/528166.929*100)</f>
        <v>0.31224611187271056</v>
      </c>
      <c r="E22" s="55">
        <f>IF(3503.96933="","-",3503.96933/678228.23986*100)</f>
        <v>0.5166357170151585</v>
      </c>
      <c r="F22" s="55">
        <f>IF(OR(416515.52507="",1478.84133="",1649.1807=""),"-",(1649.1807-1478.84133)/416515.52507*100)</f>
        <v>0.04089628351101019</v>
      </c>
      <c r="G22" s="55">
        <f>IF(OR(528166.929="",3503.96933="",1649.1807=""),"-",(3503.96933-1649.1807)/528166.929*100)</f>
        <v>0.3511747003001015</v>
      </c>
    </row>
    <row r="23" spans="1:7" s="16" customFormat="1" ht="15.75">
      <c r="A23" s="39" t="s">
        <v>119</v>
      </c>
      <c r="B23" s="55">
        <f>IF(2648.95583="","-",2648.95583)</f>
        <v>2648.95583</v>
      </c>
      <c r="C23" s="55">
        <f>IF(OR(2539.55725="",2648.95583=""),"-",2648.95583/2539.55725*100)</f>
        <v>104.30778160248208</v>
      </c>
      <c r="D23" s="55">
        <f>IF(2539.55725="","-",2539.55725/528166.929*100)</f>
        <v>0.4808247375139991</v>
      </c>
      <c r="E23" s="55">
        <f>IF(2648.95583="","-",2648.95583/678228.23986*100)</f>
        <v>0.3905699695646407</v>
      </c>
      <c r="F23" s="55">
        <f>IF(OR(416515.52507="",2012.67568="",2539.55725=""),"-",(2539.55725-2012.67568)/416515.52507*100)</f>
        <v>0.12649746246828414</v>
      </c>
      <c r="G23" s="55">
        <f>IF(OR(528166.929="",2648.95583="",2539.55725=""),"-",(2648.95583-2539.55725)/528166.929*100)</f>
        <v>0.02071287958281084</v>
      </c>
    </row>
    <row r="24" spans="1:7" s="26" customFormat="1" ht="15.75">
      <c r="A24" s="39" t="s">
        <v>118</v>
      </c>
      <c r="B24" s="55">
        <f>IF(1961.12703="","-",1961.12703)</f>
        <v>1961.12703</v>
      </c>
      <c r="C24" s="55" t="s">
        <v>201</v>
      </c>
      <c r="D24" s="55">
        <f>IF(1261.26965="","-",1261.26965/528166.929*100)</f>
        <v>0.23880132979700436</v>
      </c>
      <c r="E24" s="55">
        <f>IF(1961.12703="","-",1961.12703/678228.23986*100)</f>
        <v>0.2891544342660837</v>
      </c>
      <c r="F24" s="55">
        <f>IF(OR(416515.52507="",968.92639="",1261.26965=""),"-",(1261.26965-968.92639)/416515.52507*100)</f>
        <v>0.07018784232613383</v>
      </c>
      <c r="G24" s="55">
        <f>IF(OR(528166.929="",1961.12703="",1261.26965=""),"-",(1961.12703-1261.26965)/528166.929*100)</f>
        <v>0.1325068537185902</v>
      </c>
    </row>
    <row r="25" spans="1:7" s="26" customFormat="1" ht="15.75">
      <c r="A25" s="39" t="s">
        <v>121</v>
      </c>
      <c r="B25" s="55">
        <f>IF(1607.7118="","-",1607.7118)</f>
        <v>1607.7118</v>
      </c>
      <c r="C25" s="55">
        <f>IF(OR(1156.87587="",1607.7118=""),"-",1607.7118/1156.87587*100)</f>
        <v>138.97012131474398</v>
      </c>
      <c r="D25" s="55">
        <f>IF(1156.87587="","-",1156.87587/528166.929*100)</f>
        <v>0.21903602942167552</v>
      </c>
      <c r="E25" s="55">
        <f>IF(1607.7118="","-",1607.7118/678228.23986*100)</f>
        <v>0.2370458358283436</v>
      </c>
      <c r="F25" s="55">
        <f>IF(OR(416515.52507="",1067.70038="",1156.87587=""),"-",(1156.87587-1067.70038)/416515.52507*100)</f>
        <v>0.021409883817659178</v>
      </c>
      <c r="G25" s="55">
        <f>IF(OR(528166.929="",1607.7118="",1156.87587=""),"-",(1607.7118-1156.87587)/528166.929*100)</f>
        <v>0.08535860638862527</v>
      </c>
    </row>
    <row r="26" spans="1:7" s="16" customFormat="1" ht="15.75">
      <c r="A26" s="39" t="s">
        <v>122</v>
      </c>
      <c r="B26" s="55">
        <f>IF(1097.9577="","-",1097.9577)</f>
        <v>1097.9577</v>
      </c>
      <c r="C26" s="55" t="s">
        <v>202</v>
      </c>
      <c r="D26" s="55">
        <f>IF(564.79308="","-",564.79308/528166.929*100)</f>
        <v>0.10693457863205215</v>
      </c>
      <c r="E26" s="55">
        <f>IF(1097.9577="","-",1097.9577/678228.23986*100)</f>
        <v>0.16188616684947246</v>
      </c>
      <c r="F26" s="55">
        <f>IF(OR(416515.52507="",980.33761="",564.79308=""),"-",(564.79308-980.33761)/416515.52507*100)</f>
        <v>-0.09976687662006432</v>
      </c>
      <c r="G26" s="55">
        <f>IF(OR(528166.929="",1097.9577="",564.79308=""),"-",(1097.9577-564.79308)/528166.929*100)</f>
        <v>0.10094623323150169</v>
      </c>
    </row>
    <row r="27" spans="1:7" s="16" customFormat="1" ht="15.75">
      <c r="A27" s="39" t="s">
        <v>124</v>
      </c>
      <c r="B27" s="55">
        <f>IF(810.76736="","-",810.76736)</f>
        <v>810.76736</v>
      </c>
      <c r="C27" s="55">
        <f>IF(OR(636.39745="",810.76736=""),"-",810.76736/636.39745*100)</f>
        <v>127.39952996354715</v>
      </c>
      <c r="D27" s="55">
        <f>IF(636.39745="","-",636.39745/528166.929*100)</f>
        <v>0.1204917262057504</v>
      </c>
      <c r="E27" s="55">
        <f>IF(810.76736="","-",810.76736/678228.23986*100)</f>
        <v>0.11954196424604185</v>
      </c>
      <c r="F27" s="55">
        <f>IF(OR(416515.52507="",440.78782="",636.39745=""),"-",(636.39745-440.78782)/416515.52507*100)</f>
        <v>0.0469633466764836</v>
      </c>
      <c r="G27" s="55">
        <f>IF(OR(528166.929="",810.76736="",636.39745=""),"-",(810.76736-636.39745)/528166.929*100)</f>
        <v>0.03301416662533977</v>
      </c>
    </row>
    <row r="28" spans="1:7" s="16" customFormat="1" ht="15.75">
      <c r="A28" s="39" t="s">
        <v>123</v>
      </c>
      <c r="B28" s="55">
        <f>IF(753.6707="","-",753.6707)</f>
        <v>753.6707</v>
      </c>
      <c r="C28" s="55">
        <f>IF(OR(1110.83114="",753.6707=""),"-",753.6707/1110.83114*100)</f>
        <v>67.84745879558255</v>
      </c>
      <c r="D28" s="55">
        <f>IF(1110.83114="","-",1110.83114/528166.929*100)</f>
        <v>0.21031819279241545</v>
      </c>
      <c r="E28" s="55">
        <f>IF(753.6707="","-",753.6707/678228.23986*100)</f>
        <v>0.11112346194189332</v>
      </c>
      <c r="F28" s="55">
        <f>IF(OR(416515.52507="",848.33505="",1110.83114=""),"-",(1110.83114-848.33505)/416515.52507*100)</f>
        <v>0.06302192216145716</v>
      </c>
      <c r="G28" s="55">
        <f>IF(OR(528166.929="",753.6707="",1110.83114=""),"-",(753.6707-1110.83114)/528166.929*100)</f>
        <v>-0.06762264359796749</v>
      </c>
    </row>
    <row r="29" spans="1:7" s="16" customFormat="1" ht="15.75">
      <c r="A29" s="39" t="s">
        <v>129</v>
      </c>
      <c r="B29" s="55">
        <f>IF(311.0327="","-",311.0327)</f>
        <v>311.0327</v>
      </c>
      <c r="C29" s="55" t="s">
        <v>182</v>
      </c>
      <c r="D29" s="55">
        <f>IF(139.3585="","-",139.3585/528166.929*100)</f>
        <v>0.02638531349621854</v>
      </c>
      <c r="E29" s="55">
        <f>IF(311.0327="","-",311.0327/678228.23986*100)</f>
        <v>0.0458595914649917</v>
      </c>
      <c r="F29" s="55">
        <f>IF(OR(416515.52507="",2.626="",139.3585=""),"-",(139.3585-2.626)/416515.52507*100)</f>
        <v>0.032827707917254846</v>
      </c>
      <c r="G29" s="55">
        <f>IF(OR(528166.929="",311.0327="",139.3585=""),"-",(311.0327-139.3585)/528166.929*100)</f>
        <v>0.03250377685044343</v>
      </c>
    </row>
    <row r="30" spans="1:7" s="16" customFormat="1" ht="15.75">
      <c r="A30" s="39" t="s">
        <v>189</v>
      </c>
      <c r="B30" s="55">
        <f>IF(226.83118="","-",226.83118)</f>
        <v>226.83118</v>
      </c>
      <c r="C30" s="55" t="s">
        <v>225</v>
      </c>
      <c r="D30" s="55">
        <f>IF(53.35784="","-",53.35784/528166.929*100)</f>
        <v>0.010102457588744637</v>
      </c>
      <c r="E30" s="55">
        <f>IF(226.83118="","-",226.83118/678228.23986*100)</f>
        <v>0.033444667542422375</v>
      </c>
      <c r="F30" s="55">
        <f>IF(OR(416515.52507="",80.1423="",53.35784=""),"-",(53.35784-80.1423)/416515.52507*100)</f>
        <v>-0.006430603035864889</v>
      </c>
      <c r="G30" s="55">
        <f>IF(OR(528166.929="",226.83118="",53.35784=""),"-",(226.83118-53.35784)/528166.929*100)</f>
        <v>0.03284441536853588</v>
      </c>
    </row>
    <row r="31" spans="1:7" s="16" customFormat="1" ht="15.75">
      <c r="A31" s="39" t="s">
        <v>131</v>
      </c>
      <c r="B31" s="55">
        <f>IF(208.8544="","-",208.8544)</f>
        <v>208.8544</v>
      </c>
      <c r="C31" s="55" t="str">
        <f>IF(OR(""="",208.8544=""),"-",208.8544/""*100)</f>
        <v>-</v>
      </c>
      <c r="D31" s="55" t="str">
        <f>IF(""="","-",""/528166.929*100)</f>
        <v>-</v>
      </c>
      <c r="E31" s="55">
        <f>IF(208.8544="","-",208.8544/678228.23986*100)</f>
        <v>0.03079411733771389</v>
      </c>
      <c r="F31" s="55" t="str">
        <f>IF(OR(416515.52507="",24.19271="",""=""),"-",(""-24.19271)/416515.52507*100)</f>
        <v>-</v>
      </c>
      <c r="G31" s="55" t="str">
        <f>IF(OR(528166.929="",208.8544="",""=""),"-",(208.8544-"")/528166.929*100)</f>
        <v>-</v>
      </c>
    </row>
    <row r="32" spans="1:7" s="16" customFormat="1" ht="15.75">
      <c r="A32" s="39" t="s">
        <v>126</v>
      </c>
      <c r="B32" s="55">
        <f>IF(176.56565="","-",176.56565)</f>
        <v>176.56565</v>
      </c>
      <c r="C32" s="55">
        <f>IF(OR(546.395="",176.56565=""),"-",176.56565/546.395*100)</f>
        <v>32.3146533185699</v>
      </c>
      <c r="D32" s="55">
        <f>IF(546.395="","-",546.395/528166.929*100)</f>
        <v>0.1034511950671565</v>
      </c>
      <c r="E32" s="55">
        <f>IF(176.56565="","-",176.56565/678228.23986*100)</f>
        <v>0.026033367474708326</v>
      </c>
      <c r="F32" s="55">
        <f>IF(OR(416515.52507="",183.55318="",546.395=""),"-",(546.395-183.55318)/416515.52507*100)</f>
        <v>0.08711363638582752</v>
      </c>
      <c r="G32" s="55">
        <f>IF(OR(528166.929="",176.56565="",546.395=""),"-",(176.56565-546.395)/528166.929*100)</f>
        <v>-0.07002130002728739</v>
      </c>
    </row>
    <row r="33" spans="1:7" s="16" customFormat="1" ht="15.75">
      <c r="A33" s="39" t="s">
        <v>127</v>
      </c>
      <c r="B33" s="55">
        <f>IF(104.1113="","-",104.1113)</f>
        <v>104.1113</v>
      </c>
      <c r="C33" s="55" t="s">
        <v>268</v>
      </c>
      <c r="D33" s="55">
        <f>IF(0.97807="","-",0.97807/528166.929*100)</f>
        <v>0.00018518198438736402</v>
      </c>
      <c r="E33" s="55">
        <f>IF(104.1113="","-",104.1113/678228.23986*100)</f>
        <v>0.015350481428123765</v>
      </c>
      <c r="F33" s="55">
        <f>IF(OR(416515.52507="",183.64772="",0.97807=""),"-",(0.97807-183.64772)/416515.52507*100)</f>
        <v>-0.0438566245446194</v>
      </c>
      <c r="G33" s="55">
        <f>IF(OR(528166.929="",104.1113="",0.97807=""),"-",(104.1113-0.97807)/528166.929*100)</f>
        <v>0.019526635299803103</v>
      </c>
    </row>
    <row r="34" spans="1:7" s="16" customFormat="1" ht="15.75">
      <c r="A34" s="39" t="s">
        <v>130</v>
      </c>
      <c r="B34" s="55">
        <f>IF(4.42339="","-",4.42339)</f>
        <v>4.42339</v>
      </c>
      <c r="C34" s="55" t="s">
        <v>201</v>
      </c>
      <c r="D34" s="55">
        <f>IF(2.7095="","-",2.7095/528166.929*100)</f>
        <v>0.000513000691870278</v>
      </c>
      <c r="E34" s="55">
        <f>IF(4.42339="","-",4.42339/678228.23986*100)</f>
        <v>0.0006521978502270973</v>
      </c>
      <c r="F34" s="55">
        <f>IF(OR(416515.52507="",82.73317="",2.7095=""),"-",(2.7095-82.73317)/416515.52507*100)</f>
        <v>-0.01921264999343089</v>
      </c>
      <c r="G34" s="55">
        <f>IF(OR(528166.929="",4.42339="",2.7095=""),"-",(4.42339-2.7095)/528166.929*100)</f>
        <v>0.00032449778770605314</v>
      </c>
    </row>
    <row r="35" spans="1:7" s="16" customFormat="1" ht="15.75">
      <c r="A35" s="39" t="s">
        <v>125</v>
      </c>
      <c r="B35" s="55">
        <f>IF(3.8135="","-",3.8135)</f>
        <v>3.8135</v>
      </c>
      <c r="C35" s="55">
        <f>IF(OR(21.23394="",3.8135=""),"-",3.8135/21.23394*100)</f>
        <v>17.959455475526447</v>
      </c>
      <c r="D35" s="55">
        <f>IF(21.23394="","-",21.23394/528166.929*100)</f>
        <v>0.0040203085112131285</v>
      </c>
      <c r="E35" s="55">
        <f>IF(3.8135="","-",3.8135/678228.23986*100)</f>
        <v>0.0005622738446849668</v>
      </c>
      <c r="F35" s="55">
        <f>IF(OR(416515.52507="",2.06695="",21.23394=""),"-",(21.23394-2.06695)/416515.52507*100)</f>
        <v>0.004601746836874515</v>
      </c>
      <c r="G35" s="55">
        <f>IF(OR(528166.929="",3.8135="",21.23394=""),"-",(3.8135-21.23394)/528166.929*100)</f>
        <v>-0.003298282994163006</v>
      </c>
    </row>
    <row r="36" spans="1:7" s="16" customFormat="1" ht="14.25" customHeight="1">
      <c r="A36" s="15" t="s">
        <v>13</v>
      </c>
      <c r="B36" s="54">
        <f>IF(113669.33643="","-",113669.33643)</f>
        <v>113669.33643</v>
      </c>
      <c r="C36" s="54">
        <f>IF(106012.80383="","-",113669.33643/106012.80383*100)</f>
        <v>107.22227157794812</v>
      </c>
      <c r="D36" s="54">
        <f>IF(106012.80383="","-",106012.80383/528166.929*100)</f>
        <v>20.07183676394097</v>
      </c>
      <c r="E36" s="54">
        <f>IF(113669.33643="","-",113669.33643/678228.23986*100)</f>
        <v>16.75974690370658</v>
      </c>
      <c r="F36" s="54">
        <f>IF(416515.52507="","-",(106012.80383-85004.844)/416515.52507*100)</f>
        <v>5.043739924572893</v>
      </c>
      <c r="G36" s="54">
        <f>IF(528166.929="","-",(113669.33643-106012.80383)/528166.929*100)</f>
        <v>1.4496425617742514</v>
      </c>
    </row>
    <row r="37" spans="1:7" s="27" customFormat="1" ht="14.25" customHeight="1">
      <c r="A37" s="39" t="s">
        <v>196</v>
      </c>
      <c r="B37" s="55">
        <f>IF(60141.89381="","-",60141.89381)</f>
        <v>60141.89381</v>
      </c>
      <c r="C37" s="55">
        <f>IF(OR(60773.22368="",60141.89381=""),"-",60141.89381/60773.22368*100)</f>
        <v>98.9611710029992</v>
      </c>
      <c r="D37" s="55">
        <f>IF(60773.22368="","-",60773.22368/528166.929*100)</f>
        <v>11.50644244141988</v>
      </c>
      <c r="E37" s="55">
        <f>IF(60141.89381="","-",60141.89381/678228.23986*100)</f>
        <v>8.86750068419659</v>
      </c>
      <c r="F37" s="55">
        <f>IF(OR(416515.52507="",42797.08014="",60773.22368=""),"-",(60773.22368-42797.08014)/416515.52507*100)</f>
        <v>4.315839976668077</v>
      </c>
      <c r="G37" s="55">
        <f>IF(OR(528166.929="",60141.89381="",60773.22368=""),"-",(60141.89381-60773.22368)/528166.929*100)</f>
        <v>-0.11953226060467739</v>
      </c>
    </row>
    <row r="38" spans="1:7" s="27" customFormat="1" ht="14.25" customHeight="1">
      <c r="A38" s="39" t="s">
        <v>14</v>
      </c>
      <c r="B38" s="55">
        <f>IF(28625.74096="","-",28625.74096)</f>
        <v>28625.74096</v>
      </c>
      <c r="C38" s="55">
        <f>IF(OR(28902.33343="",28625.74096=""),"-",28625.74096/28902.33343*100)</f>
        <v>99.04300989859559</v>
      </c>
      <c r="D38" s="55">
        <f>IF(28902.33343="","-",28902.33343/528166.929*100)</f>
        <v>5.472196732332705</v>
      </c>
      <c r="E38" s="55">
        <f>IF(28625.74096="","-",28625.74096/678228.23986*100)</f>
        <v>4.22066485552252</v>
      </c>
      <c r="F38" s="55">
        <f>IF(OR(416515.52507="",26087.59279="",28902.33343=""),"-",(28902.33343-26087.59279)/416515.52507*100)</f>
        <v>0.6757828869708884</v>
      </c>
      <c r="G38" s="55">
        <f>IF(OR(528166.929="",28625.74096="",28902.33343=""),"-",(28625.74096-28902.33343)/528166.929*100)</f>
        <v>-0.05236838105779993</v>
      </c>
    </row>
    <row r="39" spans="1:7" s="27" customFormat="1" ht="14.25" customHeight="1">
      <c r="A39" s="39" t="s">
        <v>15</v>
      </c>
      <c r="B39" s="55">
        <f>IF(18566.26541="","-",18566.26541)</f>
        <v>18566.26541</v>
      </c>
      <c r="C39" s="55" t="s">
        <v>201</v>
      </c>
      <c r="D39" s="55">
        <f>IF(11825.40172="","-",11825.40172/528166.929*100)</f>
        <v>2.2389515644967615</v>
      </c>
      <c r="E39" s="55">
        <f>IF(18566.26541="","-",18566.26541/678228.23986*100)</f>
        <v>2.7374656964788806</v>
      </c>
      <c r="F39" s="55">
        <f>IF(OR(416515.52507="",11986.53969="",11825.40172=""),"-",(11825.40172-11986.53969)/416515.52507*100)</f>
        <v>-0.038687146168901815</v>
      </c>
      <c r="G39" s="55">
        <f>IF(OR(528166.929="",18566.26541="",11825.40172=""),"-",(18566.26541-11825.40172)/528166.929*100)</f>
        <v>1.276275230401637</v>
      </c>
    </row>
    <row r="40" spans="1:7" s="22" customFormat="1" ht="14.25" customHeight="1">
      <c r="A40" s="39" t="s">
        <v>16</v>
      </c>
      <c r="B40" s="55">
        <f>IF(3460.42573="","-",3460.42573)</f>
        <v>3460.42573</v>
      </c>
      <c r="C40" s="55" t="s">
        <v>199</v>
      </c>
      <c r="D40" s="55">
        <f>IF(1877.65298="","-",1877.65298/528166.929*100)</f>
        <v>0.3555037009899573</v>
      </c>
      <c r="E40" s="55">
        <f>IF(3460.42573="","-",3460.42573/678228.23986*100)</f>
        <v>0.5102155184093046</v>
      </c>
      <c r="F40" s="55">
        <f>IF(OR(416515.52507="",2016.66488="",1877.65298=""),"-",(1877.65298-2016.66488)/416515.52507*100)</f>
        <v>-0.03337496242826423</v>
      </c>
      <c r="G40" s="55">
        <f>IF(OR(528166.929="",3460.42573="",1877.65298=""),"-",(3460.42573-1877.65298)/528166.929*100)</f>
        <v>0.29967282370305315</v>
      </c>
    </row>
    <row r="41" spans="1:7" s="27" customFormat="1" ht="14.25" customHeight="1">
      <c r="A41" s="39" t="s">
        <v>17</v>
      </c>
      <c r="B41" s="55">
        <f>IF(1243.96731="","-",1243.96731)</f>
        <v>1243.96731</v>
      </c>
      <c r="C41" s="55">
        <f>IF(OR(928.42108="",1243.96731=""),"-",1243.96731/928.42108*100)</f>
        <v>133.9874047237273</v>
      </c>
      <c r="D41" s="55">
        <f>IF(928.42108="","-",928.42108/528166.929*100)</f>
        <v>0.17578175175750163</v>
      </c>
      <c r="E41" s="55">
        <f>IF(1243.96731="","-",1243.96731/678228.23986*100)</f>
        <v>0.18341426040543227</v>
      </c>
      <c r="F41" s="55">
        <f>IF(OR(416515.52507="",687.87544="",928.42108=""),"-",(928.42108-687.87544)/416515.52507*100)</f>
        <v>0.057751902515416106</v>
      </c>
      <c r="G41" s="55">
        <f>IF(OR(528166.929="",1243.96731="",928.42108=""),"-",(1243.96731-928.42108)/528166.929*100)</f>
        <v>0.05974365540027972</v>
      </c>
    </row>
    <row r="42" spans="1:7" s="22" customFormat="1" ht="14.25" customHeight="1">
      <c r="A42" s="39" t="s">
        <v>18</v>
      </c>
      <c r="B42" s="55">
        <f>IF(627.66302="","-",627.66302)</f>
        <v>627.66302</v>
      </c>
      <c r="C42" s="55">
        <f>IF(OR(1175.10333="",627.66302=""),"-",627.66302/1175.10333*100)</f>
        <v>53.41343216174871</v>
      </c>
      <c r="D42" s="55">
        <f>IF(1175.10333="","-",1175.10333/528166.929*100)</f>
        <v>0.22248710880570866</v>
      </c>
      <c r="E42" s="55">
        <f>IF(627.66302="","-",627.66302/678228.23986*100)</f>
        <v>0.09254451276307255</v>
      </c>
      <c r="F42" s="55">
        <f>IF(OR(416515.52507="",675.83781="",1175.10333=""),"-",(1175.10333-675.83781)/416515.52507*100)</f>
        <v>0.1198672054099527</v>
      </c>
      <c r="G42" s="55">
        <f>IF(OR(528166.929="",627.66302="",1175.10333=""),"-",(627.66302-1175.10333)/528166.929*100)</f>
        <v>-0.10364910787513543</v>
      </c>
    </row>
    <row r="43" spans="1:7" s="22" customFormat="1" ht="14.25" customHeight="1">
      <c r="A43" s="39" t="s">
        <v>21</v>
      </c>
      <c r="B43" s="55">
        <f>IF(547.88034="","-",547.88034)</f>
        <v>547.88034</v>
      </c>
      <c r="C43" s="55" t="s">
        <v>214</v>
      </c>
      <c r="D43" s="55">
        <f>IF(149.07997="","-",149.07997/528166.929*100)</f>
        <v>0.02822591908248765</v>
      </c>
      <c r="E43" s="55">
        <f>IF(547.88034="","-",547.88034/678228.23986*100)</f>
        <v>0.08078111582512307</v>
      </c>
      <c r="F43" s="55">
        <f>IF(OR(416515.52507="",201.37042="",149.07997=""),"-",(149.07997-201.37042)/416515.52507*100)</f>
        <v>-0.012554261930863684</v>
      </c>
      <c r="G43" s="55">
        <f>IF(OR(528166.929="",547.88034="",149.07997=""),"-",(547.88034-149.07997)/528166.929*100)</f>
        <v>0.0755065014682129</v>
      </c>
    </row>
    <row r="44" spans="1:7" s="22" customFormat="1" ht="14.25" customHeight="1">
      <c r="A44" s="39" t="s">
        <v>19</v>
      </c>
      <c r="B44" s="55">
        <f>IF(301.36982="","-",301.36982)</f>
        <v>301.36982</v>
      </c>
      <c r="C44" s="55" t="s">
        <v>202</v>
      </c>
      <c r="D44" s="55">
        <f>IF(159.50878="","-",159.50878/528166.929*100)</f>
        <v>0.030200448237454866</v>
      </c>
      <c r="E44" s="55">
        <f>IF(301.36982="","-",301.36982/678228.23986*100)</f>
        <v>0.04443486753990203</v>
      </c>
      <c r="F44" s="55">
        <f>IF(OR(416515.52507="",264.32411="",159.50878=""),"-",(159.50878-264.32411)/416515.52507*100)</f>
        <v>-0.0251648074780369</v>
      </c>
      <c r="G44" s="55">
        <f>IF(OR(528166.929="",301.36982="",159.50878=""),"-",(301.36982-159.50878)/528166.929*100)</f>
        <v>0.02685912960673083</v>
      </c>
    </row>
    <row r="45" spans="1:7" s="22" customFormat="1" ht="14.25" customHeight="1">
      <c r="A45" s="39" t="s">
        <v>22</v>
      </c>
      <c r="B45" s="55">
        <f>IF(98.18355="","-",98.18355)</f>
        <v>98.18355</v>
      </c>
      <c r="C45" s="55">
        <f>IF(OR(105.76577="",98.18355=""),"-",98.18355/105.76577*100)</f>
        <v>92.83112107064507</v>
      </c>
      <c r="D45" s="55">
        <f>IF(105.76577="","-",105.76577/528166.929*100)</f>
        <v>0.02002506484081664</v>
      </c>
      <c r="E45" s="55">
        <f>IF(98.18355="","-",98.18355/678228.23986*100)</f>
        <v>0.01447647624054508</v>
      </c>
      <c r="F45" s="55">
        <f>IF(OR(416515.52507="",231.25007="",105.76577=""),"-",(105.76577-231.25007)/416515.52507*100)</f>
        <v>-0.030127160321073505</v>
      </c>
      <c r="G45" s="55">
        <f>IF(OR(528166.929="",98.18355="",105.76577=""),"-",(98.18355-105.76577)/528166.929*100)</f>
        <v>-0.0014355726539629684</v>
      </c>
    </row>
    <row r="46" spans="1:7" s="22" customFormat="1" ht="14.25" customHeight="1">
      <c r="A46" s="39" t="s">
        <v>20</v>
      </c>
      <c r="B46" s="55">
        <f>IF(55.94648="","-",55.94648)</f>
        <v>55.94648</v>
      </c>
      <c r="C46" s="55">
        <f>IF(OR(116.31309="",55.94648=""),"-",55.94648/116.31309*100)</f>
        <v>48.099900019851596</v>
      </c>
      <c r="D46" s="55">
        <f>IF(116.31309="","-",116.31309/528166.929*100)</f>
        <v>0.022022031977696963</v>
      </c>
      <c r="E46" s="55">
        <f>IF(55.94648="","-",55.94648/678228.23986*100)</f>
        <v>0.008248916325210595</v>
      </c>
      <c r="F46" s="55">
        <f>IF(OR(416515.52507="",56.30865="",116.31309=""),"-",(116.31309-56.30865)/416515.52507*100)</f>
        <v>0.014406291335698857</v>
      </c>
      <c r="G46" s="55">
        <f>IF(OR(528166.929="",55.94648="",116.31309=""),"-",(55.94648-116.31309)/528166.929*100)</f>
        <v>-0.011429456614084977</v>
      </c>
    </row>
    <row r="47" spans="1:7" s="16" customFormat="1" ht="15.75">
      <c r="A47" s="15" t="s">
        <v>23</v>
      </c>
      <c r="B47" s="54">
        <f>IF(109900.43949="","-",109900.43949)</f>
        <v>109900.43949</v>
      </c>
      <c r="C47" s="54">
        <f>IF(86520.19247="","-",109900.43949/86520.19247*100)</f>
        <v>127.02287911357442</v>
      </c>
      <c r="D47" s="54">
        <f>IF(86520.19247="","-",86520.19247/528166.929*100)</f>
        <v>16.381221110116115</v>
      </c>
      <c r="E47" s="54">
        <f>IF(109900.43949="","-",109900.43949/678228.23986*100)</f>
        <v>16.2040494675783</v>
      </c>
      <c r="F47" s="54">
        <f>IF(416515.52507="","-",(86520.19247-65964.96525)/416515.52507*100)</f>
        <v>4.935044670074536</v>
      </c>
      <c r="G47" s="54">
        <f>IF(528166.929="","-",(109900.43949-86520.19247)/528166.929*100)</f>
        <v>4.42667757791401</v>
      </c>
    </row>
    <row r="48" spans="1:7" s="16" customFormat="1" ht="15.75">
      <c r="A48" s="39" t="s">
        <v>132</v>
      </c>
      <c r="B48" s="55">
        <f>IF(31203.28897="","-",31203.28897)</f>
        <v>31203.28897</v>
      </c>
      <c r="C48" s="55">
        <f>IF(OR(25418.00874="",31203.28897=""),"-",31203.28897/25418.00874*100)</f>
        <v>122.76055645891637</v>
      </c>
      <c r="D48" s="55">
        <f>IF(25418.00874="","-",25418.00874/528166.929*100)</f>
        <v>4.8124953200165255</v>
      </c>
      <c r="E48" s="55">
        <f>IF(31203.28897="","-",31203.28897/678228.23986*100)</f>
        <v>4.600706242553538</v>
      </c>
      <c r="F48" s="55">
        <f>IF(OR(416515.52507="",11754.00146="",25418.00874=""),"-",(25418.00874-11754.00146)/416515.52507*100)</f>
        <v>3.280551733984854</v>
      </c>
      <c r="G48" s="55">
        <f>IF(OR(528166.929="",31203.28897="",25418.00874=""),"-",(31203.28897-25418.00874)/528166.929*100)</f>
        <v>1.0953507143950696</v>
      </c>
    </row>
    <row r="49" spans="1:7" s="26" customFormat="1" ht="15.75">
      <c r="A49" s="39" t="s">
        <v>192</v>
      </c>
      <c r="B49" s="55">
        <f>IF(20438.51513="","-",20438.51513)</f>
        <v>20438.51513</v>
      </c>
      <c r="C49" s="55" t="s">
        <v>186</v>
      </c>
      <c r="D49" s="55">
        <f>IF(7950.83182="","-",7950.83182/528166.929*100)</f>
        <v>1.5053634340668838</v>
      </c>
      <c r="E49" s="55">
        <f>IF(20438.51513="","-",20438.51513/678228.23986*100)</f>
        <v>3.013515794361338</v>
      </c>
      <c r="F49" s="55">
        <f>IF(OR(416515.52507="",3726.01793="",7950.83182=""),"-",(7950.83182-3726.01793)/416515.52507*100)</f>
        <v>1.0143232690522097</v>
      </c>
      <c r="G49" s="55">
        <f>IF(OR(528166.929="",20438.51513="",7950.83182=""),"-",(20438.51513-7950.83182)/528166.929*100)</f>
        <v>2.364344040556163</v>
      </c>
    </row>
    <row r="50" spans="1:7" s="28" customFormat="1" ht="15.75">
      <c r="A50" s="39" t="s">
        <v>134</v>
      </c>
      <c r="B50" s="55">
        <f>IF(6022.71037="","-",6022.71037)</f>
        <v>6022.71037</v>
      </c>
      <c r="C50" s="55">
        <f>IF(OR(4112.39692="",6022.71037=""),"-",6022.71037/4112.39692*100)</f>
        <v>146.45255521687338</v>
      </c>
      <c r="D50" s="55">
        <f>IF(4112.39692="","-",4112.39692/528166.929*100)</f>
        <v>0.7786168906459495</v>
      </c>
      <c r="E50" s="55">
        <f>IF(6022.71037="","-",6022.71037/678228.23986*100)</f>
        <v>0.8880064285207601</v>
      </c>
      <c r="F50" s="55">
        <f>IF(OR(416515.52507="",2563.45283="",4112.39692=""),"-",(4112.39692-2563.45283)/416515.52507*100)</f>
        <v>0.3718814778247901</v>
      </c>
      <c r="G50" s="55">
        <f>IF(OR(528166.929="",6022.71037="",4112.39692=""),"-",(6022.71037-4112.39692)/528166.929*100)</f>
        <v>0.3616874410552122</v>
      </c>
    </row>
    <row r="51" spans="1:7" s="16" customFormat="1" ht="15.75">
      <c r="A51" s="39" t="s">
        <v>152</v>
      </c>
      <c r="B51" s="55">
        <f>IF(5962.41044="","-",5962.41044)</f>
        <v>5962.41044</v>
      </c>
      <c r="C51" s="55" t="s">
        <v>221</v>
      </c>
      <c r="D51" s="55">
        <f>IF(1004.39401="","-",1004.39401/528166.929*100)</f>
        <v>0.1901660166231271</v>
      </c>
      <c r="E51" s="55">
        <f>IF(5962.41044="","-",5962.41044/678228.23986*100)</f>
        <v>0.8791156265080855</v>
      </c>
      <c r="F51" s="55">
        <f>IF(OR(416515.52507="",268.29061="",1004.39401=""),"-",(1004.39401-268.29061)/416515.52507*100)</f>
        <v>0.17672892261970063</v>
      </c>
      <c r="G51" s="55">
        <f>IF(OR(528166.929="",5962.41044="",1004.39401=""),"-",(5962.41044-1004.39401)/528166.929*100)</f>
        <v>0.938721483260456</v>
      </c>
    </row>
    <row r="52" spans="1:7" s="28" customFormat="1" ht="15.75">
      <c r="A52" s="39" t="s">
        <v>24</v>
      </c>
      <c r="B52" s="55">
        <f>IF(4989.51575="","-",4989.51575)</f>
        <v>4989.51575</v>
      </c>
      <c r="C52" s="55">
        <f>IF(OR(3395.08115="",4989.51575=""),"-",4989.51575/3395.08115*100)</f>
        <v>146.96307774557906</v>
      </c>
      <c r="D52" s="55">
        <f>IF(3395.08115="","-",3395.08115/528166.929*100)</f>
        <v>0.6428045687048308</v>
      </c>
      <c r="E52" s="55">
        <f>IF(4989.51575="","-",4989.51575/678228.23986*100)</f>
        <v>0.7356691238674957</v>
      </c>
      <c r="F52" s="55">
        <f>IF(OR(416515.52507="",4111.67021="",3395.08115=""),"-",(3395.08115-4111.67021)/416515.52507*100)</f>
        <v>-0.17204378153240976</v>
      </c>
      <c r="G52" s="55">
        <f>IF(OR(528166.929="",4989.51575="",3395.08115=""),"-",(4989.51575-3395.08115)/528166.929*100)</f>
        <v>0.30188080935298384</v>
      </c>
    </row>
    <row r="53" spans="1:7" s="26" customFormat="1" ht="15.75">
      <c r="A53" s="39" t="s">
        <v>135</v>
      </c>
      <c r="B53" s="55">
        <f>IF(3880.80707="","-",3880.80707)</f>
        <v>3880.80707</v>
      </c>
      <c r="C53" s="55" t="s">
        <v>201</v>
      </c>
      <c r="D53" s="55">
        <f>IF(2484.71688="","-",2484.71688/528166.929*100)</f>
        <v>0.4704415864704774</v>
      </c>
      <c r="E53" s="55">
        <f>IF(3880.80707="","-",3880.80707/678228.23986*100)</f>
        <v>0.5721978003748528</v>
      </c>
      <c r="F53" s="55">
        <f>IF(OR(416515.52507="",2981.36204="",2484.71688=""),"-",(2484.71688-2981.36204)/416515.52507*100)</f>
        <v>-0.11923809080502663</v>
      </c>
      <c r="G53" s="55">
        <f>IF(OR(528166.929="",3880.80707="",2484.71688=""),"-",(3880.80707-2484.71688)/528166.929*100)</f>
        <v>0.26432745280801173</v>
      </c>
    </row>
    <row r="54" spans="1:7" s="16" customFormat="1" ht="15.75">
      <c r="A54" s="39" t="s">
        <v>133</v>
      </c>
      <c r="B54" s="55">
        <f>IF(3652.31174="","-",3652.31174)</f>
        <v>3652.31174</v>
      </c>
      <c r="C54" s="55">
        <f>IF(OR(4031.4842="",3652.31174=""),"-",3652.31174/4031.4842*100)</f>
        <v>90.59471794531652</v>
      </c>
      <c r="D54" s="55">
        <f>IF(4031.4842="","-",4031.4842/528166.929*100)</f>
        <v>0.7632973551814335</v>
      </c>
      <c r="E54" s="55">
        <f>IF(3652.31174="","-",3652.31174/678228.23986*100)</f>
        <v>0.5385077655796094</v>
      </c>
      <c r="F54" s="55">
        <f>IF(OR(416515.52507="",16478.0383="",4031.4842=""),"-",(4031.4842-16478.0383)/416515.52507*100)</f>
        <v>-2.988256943821775</v>
      </c>
      <c r="G54" s="55">
        <f>IF(OR(528166.929="",3652.31174="",4031.4842=""),"-",(3652.31174-4031.4842)/528166.929*100)</f>
        <v>-0.07179026917075297</v>
      </c>
    </row>
    <row r="55" spans="1:7" s="16" customFormat="1" ht="15.75">
      <c r="A55" s="39" t="s">
        <v>136</v>
      </c>
      <c r="B55" s="55">
        <f>IF(3627.75408="","-",3627.75408)</f>
        <v>3627.75408</v>
      </c>
      <c r="C55" s="55">
        <f>IF(OR(3549.55883="",3627.75408=""),"-",3627.75408/3549.55883*100)</f>
        <v>102.20295686717778</v>
      </c>
      <c r="D55" s="55">
        <f>IF(3549.55883="","-",3549.55883/528166.929*100)</f>
        <v>0.6720524582484793</v>
      </c>
      <c r="E55" s="55">
        <f>IF(3627.75408="","-",3627.75408/678228.23986*100)</f>
        <v>0.5348869107468662</v>
      </c>
      <c r="F55" s="55">
        <f>IF(OR(416515.52507="",2613.18693="",3549.55883=""),"-",(3549.55883-2613.18693)/416515.52507*100)</f>
        <v>0.2248108038332143</v>
      </c>
      <c r="G55" s="55">
        <f>IF(OR(528166.929="",3627.75408="",3549.55883=""),"-",(3627.75408-3549.55883)/528166.929*100)</f>
        <v>0.014805025780021948</v>
      </c>
    </row>
    <row r="56" spans="1:7" s="28" customFormat="1" ht="15.75">
      <c r="A56" s="39" t="s">
        <v>143</v>
      </c>
      <c r="B56" s="55">
        <f>IF(3232.59603="","-",3232.59603)</f>
        <v>3232.59603</v>
      </c>
      <c r="C56" s="55" t="s">
        <v>202</v>
      </c>
      <c r="D56" s="55">
        <f>IF(1676.27693="","-",1676.27693/528166.929*100)</f>
        <v>0.31737635167233275</v>
      </c>
      <c r="E56" s="55">
        <f>IF(3232.59603="","-",3232.59603/678228.23986*100)</f>
        <v>0.4766236260918999</v>
      </c>
      <c r="F56" s="55">
        <f>IF(OR(416515.52507="",426.36271="",1676.27693=""),"-",(1676.27693-426.36271)/416515.52507*100)</f>
        <v>0.30008826676747247</v>
      </c>
      <c r="G56" s="55">
        <f>IF(OR(528166.929="",3232.59603="",1676.27693=""),"-",(3232.59603-1676.27693)/528166.929*100)</f>
        <v>0.2946642461970579</v>
      </c>
    </row>
    <row r="57" spans="1:7" s="16" customFormat="1" ht="15.75">
      <c r="A57" s="39" t="s">
        <v>112</v>
      </c>
      <c r="B57" s="55">
        <f>IF(1600.94682="","-",1600.94682)</f>
        <v>1600.94682</v>
      </c>
      <c r="C57" s="55" t="s">
        <v>175</v>
      </c>
      <c r="D57" s="55">
        <f>IF(758.1671="","-",758.1671/528166.929*100)</f>
        <v>0.14354687095526195</v>
      </c>
      <c r="E57" s="55">
        <f>IF(1600.94682="","-",1600.94682/678228.23986*100)</f>
        <v>0.23604838694573785</v>
      </c>
      <c r="F57" s="55">
        <f>IF(OR(416515.52507="",245.18485="",758.1671=""),"-",(758.1671-245.18485)/416515.52507*100)</f>
        <v>0.12316041518831448</v>
      </c>
      <c r="G57" s="55">
        <f>IF(OR(528166.929="",1600.94682="",758.1671=""),"-",(1600.94682-758.1671)/528166.929*100)</f>
        <v>0.15956692358525154</v>
      </c>
    </row>
    <row r="58" spans="1:7" s="26" customFormat="1" ht="15.75">
      <c r="A58" s="39" t="s">
        <v>142</v>
      </c>
      <c r="B58" s="55">
        <f>IF(1573.57068="","-",1573.57068)</f>
        <v>1573.57068</v>
      </c>
      <c r="C58" s="55" t="s">
        <v>211</v>
      </c>
      <c r="D58" s="55">
        <f>IF(538.97142="","-",538.97142/528166.929*100)</f>
        <v>0.10204565837176828</v>
      </c>
      <c r="E58" s="55">
        <f>IF(1573.57068="","-",1573.57068/678228.23986*100)</f>
        <v>0.23201196699282486</v>
      </c>
      <c r="F58" s="55">
        <f>IF(OR(416515.52507="",1733.15996="",538.97142=""),"-",(538.97142-1733.15996)/416515.52507*100)</f>
        <v>-0.2867092504653467</v>
      </c>
      <c r="G58" s="55">
        <f>IF(OR(528166.929="",1573.57068="",538.97142=""),"-",(1573.57068-538.97142)/528166.929*100)</f>
        <v>0.19588489986657232</v>
      </c>
    </row>
    <row r="59" spans="1:7" s="16" customFormat="1" ht="15.75">
      <c r="A59" s="39" t="s">
        <v>137</v>
      </c>
      <c r="B59" s="55">
        <f>IF(1425.82294="","-",1425.82294)</f>
        <v>1425.82294</v>
      </c>
      <c r="C59" s="55">
        <f>IF(OR(1805.20839="",1425.82294=""),"-",1425.82294/1805.20839*100)</f>
        <v>78.98384185994172</v>
      </c>
      <c r="D59" s="55">
        <f>IF(1805.20839="","-",1805.20839/528166.929*100)</f>
        <v>0.34178747113490704</v>
      </c>
      <c r="E59" s="55">
        <f>IF(1425.82294="","-",1425.82294/678228.23986*100)</f>
        <v>0.210227598351599</v>
      </c>
      <c r="F59" s="55">
        <f>IF(OR(416515.52507="",1038.09689="",1805.20839=""),"-",(1805.20839-1038.09689)/416515.52507*100)</f>
        <v>0.18417356708878463</v>
      </c>
      <c r="G59" s="55">
        <f>IF(OR(528166.929="",1425.82294="",1805.20839=""),"-",(1425.82294-1805.20839)/528166.929*100)</f>
        <v>-0.0718305954366181</v>
      </c>
    </row>
    <row r="60" spans="1:7" s="26" customFormat="1" ht="15.75">
      <c r="A60" s="39" t="s">
        <v>145</v>
      </c>
      <c r="B60" s="55">
        <f>IF(951.81612="","-",951.81612)</f>
        <v>951.81612</v>
      </c>
      <c r="C60" s="55">
        <f>IF(OR(1155.74398="",951.81612=""),"-",951.81612/1155.74398*100)</f>
        <v>82.35527387302506</v>
      </c>
      <c r="D60" s="55">
        <f>IF(1155.74398="","-",1155.74398/528166.929*100)</f>
        <v>0.21882172406898276</v>
      </c>
      <c r="E60" s="55">
        <f>IF(951.81612="","-",951.81612/678228.23986*100)</f>
        <v>0.14033861524204214</v>
      </c>
      <c r="F60" s="55">
        <f>IF(OR(416515.52507="",537.19645="",1155.74398=""),"-",(1155.74398-537.19645)/416515.52507*100)</f>
        <v>0.14850527597885968</v>
      </c>
      <c r="G60" s="55">
        <f>IF(OR(528166.929="",951.81612="",1155.74398=""),"-",(951.81612-1155.74398)/528166.929*100)</f>
        <v>-0.03861049391829681</v>
      </c>
    </row>
    <row r="61" spans="1:7" s="16" customFormat="1" ht="15.75">
      <c r="A61" s="39" t="s">
        <v>219</v>
      </c>
      <c r="B61" s="55">
        <f>IF(845.22798="","-",845.22798)</f>
        <v>845.22798</v>
      </c>
      <c r="C61" s="55" t="str">
        <f>IF(OR(""="",845.22798=""),"-",845.22798/""*100)</f>
        <v>-</v>
      </c>
      <c r="D61" s="55" t="str">
        <f>IF(""="","-",""/528166.929*100)</f>
        <v>-</v>
      </c>
      <c r="E61" s="55">
        <f>IF(845.22798="","-",845.22798/678228.23986*100)</f>
        <v>0.12462294111705997</v>
      </c>
      <c r="F61" s="55" t="str">
        <f>IF(OR(416515.52507="",""="",""=""),"-",(""-"")/416515.52507*100)</f>
        <v>-</v>
      </c>
      <c r="G61" s="55" t="str">
        <f>IF(OR(528166.929="",845.22798="",""=""),"-",(845.22798-"")/528166.929*100)</f>
        <v>-</v>
      </c>
    </row>
    <row r="62" spans="1:7" s="26" customFormat="1" ht="15.75">
      <c r="A62" s="39" t="s">
        <v>138</v>
      </c>
      <c r="B62" s="55">
        <f>IF(793.0484="","-",793.0484)</f>
        <v>793.0484</v>
      </c>
      <c r="C62" s="55">
        <f>IF(OR(766.2058="",793.0484=""),"-",793.0484/766.2058*100)</f>
        <v>103.50331464470774</v>
      </c>
      <c r="D62" s="55">
        <f>IF(766.2058="","-",766.2058/528166.929*100)</f>
        <v>0.14506887083041883</v>
      </c>
      <c r="E62" s="55">
        <f>IF(793.0484="","-",793.0484/678228.23986*100)</f>
        <v>0.11692942779317199</v>
      </c>
      <c r="F62" s="55">
        <f>IF(OR(416515.52507="",636.48169="",766.2058=""),"-",(766.2058-636.48169)/416515.52507*100)</f>
        <v>0.031145083962524196</v>
      </c>
      <c r="G62" s="55">
        <f>IF(OR(528166.929="",793.0484="",766.2058=""),"-",(793.0484-766.2058)/528166.929*100)</f>
        <v>0.0050822189967142115</v>
      </c>
    </row>
    <row r="63" spans="1:7" s="16" customFormat="1" ht="15.75">
      <c r="A63" s="39" t="s">
        <v>140</v>
      </c>
      <c r="B63" s="55">
        <f>IF(618.54195="","-",618.54195)</f>
        <v>618.54195</v>
      </c>
      <c r="C63" s="55" t="s">
        <v>222</v>
      </c>
      <c r="D63" s="55">
        <f>IF(190.67108="","-",190.67108/528166.929*100)</f>
        <v>0.03610053366290943</v>
      </c>
      <c r="E63" s="55">
        <f>IF(618.54195="","-",618.54195/678228.23986*100)</f>
        <v>0.0911996749247244</v>
      </c>
      <c r="F63" s="55">
        <f>IF(OR(416515.52507="",686.96265="",190.67108=""),"-",(190.67108-686.96265)/416515.52507*100)</f>
        <v>-0.11915319841117396</v>
      </c>
      <c r="G63" s="55">
        <f>IF(OR(528166.929="",618.54195="",190.67108=""),"-",(618.54195-190.67108)/528166.929*100)</f>
        <v>0.0810105378634943</v>
      </c>
    </row>
    <row r="64" spans="1:7" s="16" customFormat="1" ht="15.75">
      <c r="A64" s="39" t="s">
        <v>141</v>
      </c>
      <c r="B64" s="55">
        <f>IF(563.42904="","-",563.42904)</f>
        <v>563.42904</v>
      </c>
      <c r="C64" s="55">
        <f>IF(OR(987.60019="",563.42904=""),"-",563.42904/987.60019*100)</f>
        <v>57.05031709238533</v>
      </c>
      <c r="D64" s="55">
        <f>IF(987.60019="","-",987.60019/528166.929*100)</f>
        <v>0.18698637415066174</v>
      </c>
      <c r="E64" s="55">
        <f>IF(563.42904="","-",563.42904/678228.23986*100)</f>
        <v>0.08307366265319521</v>
      </c>
      <c r="F64" s="55">
        <f>IF(OR(416515.52507="",677.79553="",987.60019=""),"-",(987.60019-677.79553)/416515.52507*100)</f>
        <v>0.07438009902462435</v>
      </c>
      <c r="G64" s="55">
        <f>IF(OR(528166.929="",563.42904="",987.60019=""),"-",(563.42904-987.60019)/528166.929*100)</f>
        <v>-0.08031005477815518</v>
      </c>
    </row>
    <row r="65" spans="1:7" s="26" customFormat="1" ht="15.75">
      <c r="A65" s="39" t="s">
        <v>164</v>
      </c>
      <c r="B65" s="55">
        <f>IF(521.97067="","-",521.97067)</f>
        <v>521.97067</v>
      </c>
      <c r="C65" s="55" t="s">
        <v>269</v>
      </c>
      <c r="D65" s="55">
        <f>IF(154.30832="","-",154.30832/528166.929*100)</f>
        <v>0.02921582392372772</v>
      </c>
      <c r="E65" s="55">
        <f>IF(521.97067="","-",521.97067/678228.23986*100)</f>
        <v>0.07696091659464746</v>
      </c>
      <c r="F65" s="55" t="str">
        <f>IF(OR(416515.52507="",""="",154.30832=""),"-",(154.30832-"")/416515.52507*100)</f>
        <v>-</v>
      </c>
      <c r="G65" s="55">
        <f>IF(OR(528166.929="",521.97067="",154.30832=""),"-",(521.97067-154.30832)/528166.929*100)</f>
        <v>0.06961101307423966</v>
      </c>
    </row>
    <row r="66" spans="1:7" s="28" customFormat="1" ht="15.75">
      <c r="A66" s="39" t="s">
        <v>147</v>
      </c>
      <c r="B66" s="55">
        <f>IF(512.74329="","-",512.74329)</f>
        <v>512.74329</v>
      </c>
      <c r="C66" s="55" t="s">
        <v>186</v>
      </c>
      <c r="D66" s="55">
        <f>IF(195.93653="","-",195.93653/528166.929*100)</f>
        <v>0.03709746279854641</v>
      </c>
      <c r="E66" s="55">
        <f>IF(512.74329="","-",512.74329/678228.23986*100)</f>
        <v>0.07560040409196772</v>
      </c>
      <c r="F66" s="55">
        <f>IF(OR(416515.52507="",157.41264="",195.93653=""),"-",(195.93653-157.41264)/416515.52507*100)</f>
        <v>0.009249088612849577</v>
      </c>
      <c r="G66" s="55">
        <f>IF(OR(528166.929="",512.74329="",195.93653=""),"-",(512.74329-195.93653)/528166.929*100)</f>
        <v>0.05998231668912386</v>
      </c>
    </row>
    <row r="67" spans="1:7" s="16" customFormat="1" ht="15.75">
      <c r="A67" s="39" t="s">
        <v>193</v>
      </c>
      <c r="B67" s="55">
        <f>IF(503.68829="","-",503.68829)</f>
        <v>503.68829</v>
      </c>
      <c r="C67" s="55">
        <f>IF(OR(407.74851="",503.68829=""),"-",503.68829/407.74851*100)</f>
        <v>123.52915526288496</v>
      </c>
      <c r="D67" s="55">
        <f>IF(407.74851="","-",407.74851/528166.929*100)</f>
        <v>0.0772006893297933</v>
      </c>
      <c r="E67" s="55">
        <f>IF(503.68829="","-",503.68829/678228.23986*100)</f>
        <v>0.07426530781200903</v>
      </c>
      <c r="F67" s="55">
        <f>IF(OR(416515.52507="",150.06341="",407.74851=""),"-",(407.74851-150.06341)/416515.52507*100)</f>
        <v>0.06186686557642557</v>
      </c>
      <c r="G67" s="55">
        <f>IF(OR(528166.929="",503.68829="",407.74851=""),"-",(503.68829-407.74851)/528166.929*100)</f>
        <v>0.018164670056424526</v>
      </c>
    </row>
    <row r="68" spans="1:7" s="16" customFormat="1" ht="15.75">
      <c r="A68" s="39" t="s">
        <v>154</v>
      </c>
      <c r="B68" s="55">
        <f>IF(471.24163="","-",471.24163)</f>
        <v>471.24163</v>
      </c>
      <c r="C68" s="55" t="s">
        <v>211</v>
      </c>
      <c r="D68" s="55">
        <f>IF(164.12356="","-",164.12356/528166.929*100)</f>
        <v>0.03107418336675146</v>
      </c>
      <c r="E68" s="55">
        <f>IF(471.24163="","-",471.24163/678228.23986*100)</f>
        <v>0.06948127522635651</v>
      </c>
      <c r="F68" s="55">
        <f>IF(OR(416515.52507="",81.9457="",164.12356=""),"-",(164.12356-81.9457)/416515.52507*100)</f>
        <v>0.019729843200007757</v>
      </c>
      <c r="G68" s="55">
        <f>IF(OR(528166.929="",471.24163="",164.12356=""),"-",(471.24163-164.12356)/528166.929*100)</f>
        <v>0.05814791747402268</v>
      </c>
    </row>
    <row r="69" spans="1:7" s="16" customFormat="1" ht="15.75">
      <c r="A69" s="39" t="s">
        <v>161</v>
      </c>
      <c r="B69" s="55">
        <f>IF(462.68075="","-",462.68075)</f>
        <v>462.68075</v>
      </c>
      <c r="C69" s="55" t="s">
        <v>211</v>
      </c>
      <c r="D69" s="55">
        <f>IF(161.60559="","-",161.60559/528166.929*100)</f>
        <v>0.030597445831372756</v>
      </c>
      <c r="E69" s="55">
        <f>IF(462.68075="","-",462.68075/678228.23986*100)</f>
        <v>0.06821903347691725</v>
      </c>
      <c r="F69" s="55">
        <f>IF(OR(416515.52507="",85.31325="",161.60559=""),"-",(161.60559-85.31325)/416515.52507*100)</f>
        <v>0.018316805835071392</v>
      </c>
      <c r="G69" s="55">
        <f>IF(OR(528166.929="",462.68075="",161.60559=""),"-",(462.68075-161.60559)/528166.929*100)</f>
        <v>0.0570037886639434</v>
      </c>
    </row>
    <row r="70" spans="1:7" s="16" customFormat="1" ht="15.75">
      <c r="A70" s="39" t="s">
        <v>210</v>
      </c>
      <c r="B70" s="55">
        <f>IF(421.13265="","-",421.13265)</f>
        <v>421.13265</v>
      </c>
      <c r="C70" s="55" t="str">
        <f>IF(OR(""="",421.13265=""),"-",421.13265/""*100)</f>
        <v>-</v>
      </c>
      <c r="D70" s="55" t="str">
        <f>IF(""="","-",""/528166.929*100)</f>
        <v>-</v>
      </c>
      <c r="E70" s="55">
        <f>IF(421.13265="","-",421.13265/678228.23986*100)</f>
        <v>0.06209305735882221</v>
      </c>
      <c r="F70" s="55" t="str">
        <f>IF(OR(416515.52507="",""="",""=""),"-",(""-"")/416515.52507*100)</f>
        <v>-</v>
      </c>
      <c r="G70" s="55" t="str">
        <f>IF(OR(528166.929="",421.13265="",""=""),"-",(421.13265-"")/528166.929*100)</f>
        <v>-</v>
      </c>
    </row>
    <row r="71" spans="1:7" s="16" customFormat="1" ht="15.75">
      <c r="A71" s="39" t="s">
        <v>261</v>
      </c>
      <c r="B71" s="55">
        <f>IF(332.6445="","-",332.6445)</f>
        <v>332.6445</v>
      </c>
      <c r="C71" s="55" t="str">
        <f>IF(OR(""="",332.6445=""),"-",332.6445/""*100)</f>
        <v>-</v>
      </c>
      <c r="D71" s="55" t="str">
        <f>IF(""="","-",""/528166.929*100)</f>
        <v>-</v>
      </c>
      <c r="E71" s="55">
        <f>IF(332.6445="","-",332.6445/678228.23986*100)</f>
        <v>0.04904609988942137</v>
      </c>
      <c r="F71" s="55" t="str">
        <f>IF(OR(416515.52507="",""="",""=""),"-",(""-"")/416515.52507*100)</f>
        <v>-</v>
      </c>
      <c r="G71" s="55" t="str">
        <f>IF(OR(528166.929="",332.6445="",""=""),"-",(332.6445-"")/528166.929*100)</f>
        <v>-</v>
      </c>
    </row>
    <row r="72" spans="1:7" s="16" customFormat="1" ht="15.75">
      <c r="A72" s="39" t="s">
        <v>204</v>
      </c>
      <c r="B72" s="55">
        <f>IF(303.38991="","-",303.38991)</f>
        <v>303.38991</v>
      </c>
      <c r="C72" s="55" t="str">
        <f>IF(OR(""="",303.38991=""),"-",303.38991/""*100)</f>
        <v>-</v>
      </c>
      <c r="D72" s="55" t="str">
        <f>IF(""="","-",""/528166.929*100)</f>
        <v>-</v>
      </c>
      <c r="E72" s="55">
        <f>IF(303.38991="","-",303.38991/678228.23986*100)</f>
        <v>0.04473271565080006</v>
      </c>
      <c r="F72" s="55" t="str">
        <f>IF(OR(416515.52507="",""="",""=""),"-",(""-"")/416515.52507*100)</f>
        <v>-</v>
      </c>
      <c r="G72" s="55" t="str">
        <f>IF(OR(528166.929="",303.38991="",""=""),"-",(303.38991-"")/528166.929*100)</f>
        <v>-</v>
      </c>
    </row>
    <row r="73" spans="1:7" s="16" customFormat="1" ht="15.75">
      <c r="A73" s="39" t="s">
        <v>218</v>
      </c>
      <c r="B73" s="55">
        <f>IF(273.43215="","-",273.43215)</f>
        <v>273.43215</v>
      </c>
      <c r="C73" s="55" t="str">
        <f>IF(OR(""="",273.43215=""),"-",273.43215/""*100)</f>
        <v>-</v>
      </c>
      <c r="D73" s="55" t="str">
        <f>IF(""="","-",""/528166.929*100)</f>
        <v>-</v>
      </c>
      <c r="E73" s="55">
        <f>IF(273.43215="","-",273.43215/678228.23986*100)</f>
        <v>0.040315653924472665</v>
      </c>
      <c r="F73" s="55" t="str">
        <f>IF(OR(416515.52507="",""="",""=""),"-",(""-"")/416515.52507*100)</f>
        <v>-</v>
      </c>
      <c r="G73" s="55" t="str">
        <f>IF(OR(528166.929="",273.43215="",""=""),"-",(273.43215-"")/528166.929*100)</f>
        <v>-</v>
      </c>
    </row>
    <row r="74" spans="1:7" s="16" customFormat="1" ht="15.75">
      <c r="A74" s="39" t="s">
        <v>114</v>
      </c>
      <c r="B74" s="55">
        <f>IF(263.78699="","-",263.78699)</f>
        <v>263.78699</v>
      </c>
      <c r="C74" s="55" t="str">
        <f>IF(OR(""="",263.78699=""),"-",263.78699/""*100)</f>
        <v>-</v>
      </c>
      <c r="D74" s="55" t="str">
        <f>IF(""="","-",""/528166.929*100)</f>
        <v>-</v>
      </c>
      <c r="E74" s="55">
        <f>IF(263.78699="","-",263.78699/678228.23986*100)</f>
        <v>0.03889354268917658</v>
      </c>
      <c r="F74" s="55" t="str">
        <f>IF(OR(416515.52507="",24.624="",""=""),"-",(""-24.624)/416515.52507*100)</f>
        <v>-</v>
      </c>
      <c r="G74" s="55" t="str">
        <f>IF(OR(528166.929="",263.78699="",""=""),"-",(263.78699-"")/528166.929*100)</f>
        <v>-</v>
      </c>
    </row>
    <row r="75" spans="1:7" s="16" customFormat="1" ht="15.75">
      <c r="A75" s="39" t="s">
        <v>178</v>
      </c>
      <c r="B75" s="55">
        <f>IF(222.61881="","-",222.61881)</f>
        <v>222.61881</v>
      </c>
      <c r="C75" s="55" t="s">
        <v>115</v>
      </c>
      <c r="D75" s="55">
        <f>IF(91.07321="","-",91.07321/528166.929*100)</f>
        <v>0.01724326249892863</v>
      </c>
      <c r="E75" s="55">
        <f>IF(222.61881="","-",222.61881/678228.23986*100)</f>
        <v>0.03282358311207345</v>
      </c>
      <c r="F75" s="55">
        <f>IF(OR(416515.52507="",21.9411="",91.07321=""),"-",(91.07321-21.9411)/416515.52507*100)</f>
        <v>0.016597727056724142</v>
      </c>
      <c r="G75" s="55">
        <f>IF(OR(528166.929="",222.61881="",91.07321=""),"-",(222.61881-91.07321)/528166.929*100)</f>
        <v>0.024906065256501506</v>
      </c>
    </row>
    <row r="76" spans="1:7" ht="15.75">
      <c r="A76" s="39" t="s">
        <v>153</v>
      </c>
      <c r="B76" s="55">
        <f>IF(219.38011="","-",219.38011)</f>
        <v>219.38011</v>
      </c>
      <c r="C76" s="55">
        <f>IF(OR(235.68349="",219.38011=""),"-",219.38011/235.68349*100)</f>
        <v>93.08251078596977</v>
      </c>
      <c r="D76" s="55">
        <f>IF(235.68349="","-",235.68349/528166.929*100)</f>
        <v>0.044622916933899893</v>
      </c>
      <c r="E76" s="55">
        <f>IF(219.38011="","-",219.38011/678228.23986*100)</f>
        <v>0.03234605949839017</v>
      </c>
      <c r="F76" s="55">
        <f>IF(OR(416515.52507="",72.17413="",235.68349=""),"-",(235.68349-72.17413)/416515.52507*100)</f>
        <v>0.0392564862912422</v>
      </c>
      <c r="G76" s="55">
        <f>IF(OR(528166.929="",219.38011="",235.68349=""),"-",(219.38011-235.68349)/528166.929*100)</f>
        <v>-0.0030867854658881916</v>
      </c>
    </row>
    <row r="77" spans="1:7" ht="15.75">
      <c r="A77" s="39" t="s">
        <v>205</v>
      </c>
      <c r="B77" s="55">
        <f>IF(203.26985="","-",203.26985)</f>
        <v>203.26985</v>
      </c>
      <c r="C77" s="55" t="s">
        <v>224</v>
      </c>
      <c r="D77" s="55">
        <f>IF(0.46545="","-",0.46545/528166.929*100)</f>
        <v>8.812554789851296E-05</v>
      </c>
      <c r="E77" s="55">
        <f>IF(203.26985="","-",203.26985/678228.23986*100)</f>
        <v>0.02997071458451199</v>
      </c>
      <c r="F77" s="55" t="str">
        <f>IF(OR(416515.52507="",""="",0.46545=""),"-",(0.46545-"")/416515.52507*100)</f>
        <v>-</v>
      </c>
      <c r="G77" s="55">
        <f>IF(OR(528166.929="",203.26985="",0.46545=""),"-",(203.26985-0.46545)/528166.929*100)</f>
        <v>0.038397784651905006</v>
      </c>
    </row>
    <row r="78" spans="1:7" ht="15.75">
      <c r="A78" s="39" t="s">
        <v>149</v>
      </c>
      <c r="B78" s="55">
        <f>IF(180.896="","-",180.896)</f>
        <v>180.896</v>
      </c>
      <c r="C78" s="55">
        <f>IF(OR(180.4545="",180.896=""),"-",180.896/180.4545*100)</f>
        <v>100.24466001124937</v>
      </c>
      <c r="D78" s="55">
        <f>IF(180.4545="","-",180.4545/528166.929*100)</f>
        <v>0.03416618687990591</v>
      </c>
      <c r="E78" s="55">
        <f>IF(180.896="","-",180.896/678228.23986*100)</f>
        <v>0.026671847229089222</v>
      </c>
      <c r="F78" s="55">
        <f>IF(OR(416515.52507="",179.00852="",180.4545=""),"-",(180.4545-179.00852)/416515.52507*100)</f>
        <v>0.00034716112916966993</v>
      </c>
      <c r="G78" s="55">
        <f>IF(OR(528166.929="",180.896="",180.4545=""),"-",(180.896-180.4545)/528166.929*100)</f>
        <v>8.35909966638579E-05</v>
      </c>
    </row>
    <row r="79" spans="1:7" ht="15.75">
      <c r="A79" s="39" t="s">
        <v>191</v>
      </c>
      <c r="B79" s="55">
        <f>IF(147.41427="","-",147.41427)</f>
        <v>147.41427</v>
      </c>
      <c r="C79" s="55" t="s">
        <v>186</v>
      </c>
      <c r="D79" s="55">
        <f>IF(56.89749="","-",56.89749/528166.929*100)</f>
        <v>0.010772633967773471</v>
      </c>
      <c r="E79" s="55">
        <f>IF(147.41427="","-",147.41427/678228.23986*100)</f>
        <v>0.021735200827147697</v>
      </c>
      <c r="F79" s="55">
        <f>IF(OR(416515.52507="",138.86417="",56.89749=""),"-",(56.89749-138.86417)/416515.52507*100)</f>
        <v>-0.01967914160852098</v>
      </c>
      <c r="G79" s="55">
        <f>IF(OR(528166.929="",147.41427="",56.89749=""),"-",(147.41427-56.89749)/528166.929*100)</f>
        <v>0.01713791133636085</v>
      </c>
    </row>
    <row r="80" spans="1:7" ht="15.75">
      <c r="A80" s="39" t="s">
        <v>139</v>
      </c>
      <c r="B80" s="55">
        <f>IF(137.56439="","-",137.56439)</f>
        <v>137.56439</v>
      </c>
      <c r="C80" s="55" t="s">
        <v>223</v>
      </c>
      <c r="D80" s="55">
        <f>IF(25.13077="","-",25.13077/528166.929*100)</f>
        <v>0.004758111237214551</v>
      </c>
      <c r="E80" s="55">
        <f>IF(137.56439="","-",137.56439/678228.23986*100)</f>
        <v>0.020282905062814265</v>
      </c>
      <c r="F80" s="55">
        <f>IF(OR(416515.52507="",2016.59243="",25.13077=""),"-",(25.13077-2016.59243)/416515.52507*100)</f>
        <v>-0.4781242331039913</v>
      </c>
      <c r="G80" s="55">
        <f>IF(OR(528166.929="",137.56439="",25.13077=""),"-",(137.56439-25.13077)/528166.929*100)</f>
        <v>0.021287516091337857</v>
      </c>
    </row>
    <row r="81" spans="1:7" ht="15.75">
      <c r="A81" s="39" t="s">
        <v>155</v>
      </c>
      <c r="B81" s="55">
        <f>IF(124.16184="","-",124.16184)</f>
        <v>124.16184</v>
      </c>
      <c r="C81" s="55" t="s">
        <v>270</v>
      </c>
      <c r="D81" s="55">
        <f>IF(4.90771="","-",4.90771/528166.929*100)</f>
        <v>0.0009291967615791408</v>
      </c>
      <c r="E81" s="55">
        <f>IF(124.16184="","-",124.16184/678228.23986*100)</f>
        <v>0.018306793009036235</v>
      </c>
      <c r="F81" s="55">
        <f>IF(OR(416515.52507="",177.45537="",4.90771=""),"-",(4.90771-177.45537)/416515.52507*100)</f>
        <v>-0.04142646542911011</v>
      </c>
      <c r="G81" s="55">
        <f>IF(OR(528166.929="",124.16184="",4.90771=""),"-",(124.16184-4.90771)/528166.929*100)</f>
        <v>0.02257887108263077</v>
      </c>
    </row>
    <row r="82" spans="1:7" ht="15.75">
      <c r="A82" s="39" t="s">
        <v>262</v>
      </c>
      <c r="B82" s="55">
        <f>IF(113.52085="","-",113.52085)</f>
        <v>113.52085</v>
      </c>
      <c r="C82" s="55" t="str">
        <f>IF(OR(""="",113.52085=""),"-",113.52085/""*100)</f>
        <v>-</v>
      </c>
      <c r="D82" s="55" t="str">
        <f>IF(""="","-",""/528166.929*100)</f>
        <v>-</v>
      </c>
      <c r="E82" s="55">
        <f>IF(113.52085="","-",113.52085/678228.23986*100)</f>
        <v>0.016737853620402622</v>
      </c>
      <c r="F82" s="55" t="str">
        <f>IF(OR(416515.52507="",70.46441="",""=""),"-",(""-70.46441)/416515.52507*100)</f>
        <v>-</v>
      </c>
      <c r="G82" s="55" t="str">
        <f>IF(OR(528166.929="",113.52085="",""=""),"-",(113.52085-"")/528166.929*100)</f>
        <v>-</v>
      </c>
    </row>
    <row r="83" spans="1:7" ht="15.75">
      <c r="A83" s="39" t="s">
        <v>263</v>
      </c>
      <c r="B83" s="55">
        <f>IF(104.24928="","-",104.24928)</f>
        <v>104.24928</v>
      </c>
      <c r="C83" s="55" t="str">
        <f>IF(OR(""="",104.24928=""),"-",104.24928/""*100)</f>
        <v>-</v>
      </c>
      <c r="D83" s="55" t="str">
        <f>IF(""="","-",""/528166.929*100)</f>
        <v>-</v>
      </c>
      <c r="E83" s="55">
        <f>IF(104.24928="","-",104.24928/678228.23986*100)</f>
        <v>0.015370825611967905</v>
      </c>
      <c r="F83" s="55" t="str">
        <f>IF(OR(416515.52507="",26.24="",""=""),"-",(""-26.24)/416515.52507*100)</f>
        <v>-</v>
      </c>
      <c r="G83" s="55" t="str">
        <f>IF(OR(528166.929="",104.24928="",""=""),"-",(104.24928-"")/528166.929*100)</f>
        <v>-</v>
      </c>
    </row>
    <row r="84" spans="1:7" ht="15.75">
      <c r="A84" s="39" t="s">
        <v>156</v>
      </c>
      <c r="B84" s="55">
        <f>IF(99.60959="","-",99.60959)</f>
        <v>99.60959</v>
      </c>
      <c r="C84" s="55">
        <f>IF(OR(83.95205="",99.60959=""),"-",99.60959/83.95205*100)</f>
        <v>118.6505749412909</v>
      </c>
      <c r="D84" s="55">
        <f>IF(83.95205="","-",83.95205/528166.929*100)</f>
        <v>0.015894984216249554</v>
      </c>
      <c r="E84" s="55">
        <f>IF(99.60959="","-",99.60959/678228.23986*100)</f>
        <v>0.014686735842872221</v>
      </c>
      <c r="F84" s="55">
        <f>IF(OR(416515.52507="",113.41202="",83.95205=""),"-",(83.95205-113.41202)/416515.52507*100)</f>
        <v>-0.007072958443757632</v>
      </c>
      <c r="G84" s="55">
        <f>IF(OR(528166.929="",99.60959="",83.95205=""),"-",(99.60959-83.95205)/528166.929*100)</f>
        <v>0.0029645059431579815</v>
      </c>
    </row>
    <row r="85" spans="1:7" ht="15.75">
      <c r="A85" s="39" t="s">
        <v>264</v>
      </c>
      <c r="B85" s="55">
        <f>IF(90.19549="","-",90.19549)</f>
        <v>90.19549</v>
      </c>
      <c r="C85" s="55">
        <f>IF(OR(99.4423="",90.19549=""),"-",90.19549/99.4423*100)</f>
        <v>90.7013313247984</v>
      </c>
      <c r="D85" s="55">
        <f>IF(99.4423="","-",99.4423/528166.929*100)</f>
        <v>0.01882781646103405</v>
      </c>
      <c r="E85" s="55">
        <f>IF(90.19549="","-",90.19549/678228.23986*100)</f>
        <v>0.013298692784986096</v>
      </c>
      <c r="F85" s="55" t="str">
        <f>IF(OR(416515.52507="",""="",99.4423=""),"-",(99.4423-"")/416515.52507*100)</f>
        <v>-</v>
      </c>
      <c r="G85" s="55">
        <f>IF(OR(528166.929="",90.19549="",99.4423=""),"-",(90.19549-99.4423)/528166.929*100)</f>
        <v>-0.0017507362714866224</v>
      </c>
    </row>
    <row r="86" spans="1:7" ht="15.75">
      <c r="A86" s="39" t="s">
        <v>173</v>
      </c>
      <c r="B86" s="55">
        <f>IF(77.46353="","-",77.46353)</f>
        <v>77.46353</v>
      </c>
      <c r="C86" s="55">
        <f>IF(OR(86.95309="",77.46353=""),"-",77.46353/86.95309*100)</f>
        <v>89.08657530169428</v>
      </c>
      <c r="D86" s="55">
        <f>IF(86.95309="","-",86.95309/528166.929*100)</f>
        <v>0.016463183366030098</v>
      </c>
      <c r="E86" s="55">
        <f>IF(77.46353="","-",77.46353/678228.23986*100)</f>
        <v>0.011421454526280128</v>
      </c>
      <c r="F86" s="55">
        <f>IF(OR(416515.52507="",32.86435="",86.95309=""),"-",(86.95309-32.86435)/416515.52507*100)</f>
        <v>0.01298600814241193</v>
      </c>
      <c r="G86" s="55">
        <f>IF(OR(528166.929="",77.46353="",86.95309=""),"-",(77.46353-86.95309)/528166.929*100)</f>
        <v>-0.0017966971195956872</v>
      </c>
    </row>
    <row r="87" spans="1:7" ht="15.75">
      <c r="A87" s="39" t="s">
        <v>265</v>
      </c>
      <c r="B87" s="55">
        <f>IF(75.03="","-",75.03)</f>
        <v>75.03</v>
      </c>
      <c r="C87" s="55">
        <f>IF(OR(2728.18961="",75.03=""),"-",75.03/2728.18961*100)</f>
        <v>2.7501754176096287</v>
      </c>
      <c r="D87" s="55">
        <f>IF(2728.18961="","-",2728.18961/528166.929*100)</f>
        <v>0.5165392719997431</v>
      </c>
      <c r="E87" s="55">
        <f>IF(75.03="","-",75.03/678228.23986*100)</f>
        <v>0.011062647585344974</v>
      </c>
      <c r="F87" s="55">
        <f>IF(OR(416515.52507="",3235.92804="",2728.18961=""),"-",(2728.18961-3235.92804)/416515.52507*100)</f>
        <v>-0.12190144170848587</v>
      </c>
      <c r="G87" s="55">
        <f>IF(OR(528166.929="",75.03="",2728.18961=""),"-",(75.03-2728.18961)/528166.929*100)</f>
        <v>-0.5023335359189063</v>
      </c>
    </row>
    <row r="88" spans="1:7" ht="15.75">
      <c r="A88" s="39" t="s">
        <v>266</v>
      </c>
      <c r="B88" s="55">
        <f>IF(74.4605="","-",74.4605)</f>
        <v>74.4605</v>
      </c>
      <c r="C88" s="55" t="str">
        <f>IF(OR(""="",74.4605=""),"-",74.4605/""*100)</f>
        <v>-</v>
      </c>
      <c r="D88" s="55" t="str">
        <f>IF(""="","-",""/528166.929*100)</f>
        <v>-</v>
      </c>
      <c r="E88" s="55">
        <f>IF(74.4605="","-",74.4605/678228.23986*100)</f>
        <v>0.010978678802193513</v>
      </c>
      <c r="F88" s="55" t="str">
        <f>IF(OR(416515.52507="",""="",""=""),"-",(""-"")/416515.52507*100)</f>
        <v>-</v>
      </c>
      <c r="G88" s="55" t="str">
        <f>IF(OR(528166.929="",74.4605="",""=""),"-",(74.4605-"")/528166.929*100)</f>
        <v>-</v>
      </c>
    </row>
    <row r="89" spans="1:7" ht="15.75">
      <c r="A89" s="39" t="s">
        <v>220</v>
      </c>
      <c r="B89" s="55">
        <f>IF(74.18292="","-",74.18292)</f>
        <v>74.18292</v>
      </c>
      <c r="C89" s="55" t="str">
        <f>IF(OR(""="",74.18292=""),"-",74.18292/""*100)</f>
        <v>-</v>
      </c>
      <c r="D89" s="55" t="str">
        <f>IF(""="","-",""/528166.929*100)</f>
        <v>-</v>
      </c>
      <c r="E89" s="55">
        <f>IF(74.18292="","-",74.18292/678228.23986*100)</f>
        <v>0.010937751576860447</v>
      </c>
      <c r="F89" s="55" t="str">
        <f>IF(OR(416515.52507="",""="",""=""),"-",(""-"")/416515.52507*100)</f>
        <v>-</v>
      </c>
      <c r="G89" s="55" t="str">
        <f>IF(OR(528166.929="",74.18292="",""=""),"-",(74.18292-"")/528166.929*100)</f>
        <v>-</v>
      </c>
    </row>
    <row r="90" spans="1:7" ht="15.75">
      <c r="A90" s="39" t="s">
        <v>206</v>
      </c>
      <c r="B90" s="55">
        <f>IF(72.36412="","-",72.36412)</f>
        <v>72.36412</v>
      </c>
      <c r="C90" s="55" t="s">
        <v>115</v>
      </c>
      <c r="D90" s="55">
        <f>IF(30.54099="","-",30.54099/528166.929*100)</f>
        <v>0.005782450267725869</v>
      </c>
      <c r="E90" s="55">
        <f>IF(72.36412="","-",72.36412/678228.23986*100)</f>
        <v>0.010669582265541967</v>
      </c>
      <c r="F90" s="55">
        <f>IF(OR(416515.52507="",5.89419="",30.54099=""),"-",(30.54099-5.89419)/416515.52507*100)</f>
        <v>0.005917378468871679</v>
      </c>
      <c r="G90" s="55">
        <f>IF(OR(528166.929="",72.36412="",30.54099=""),"-",(72.36412-30.54099)/528166.929*100)</f>
        <v>0.007918543873844096</v>
      </c>
    </row>
    <row r="91" spans="1:7" ht="15.75">
      <c r="A91" s="39" t="s">
        <v>150</v>
      </c>
      <c r="B91" s="55">
        <f>IF(71.04334="","-",71.04334)</f>
        <v>71.04334</v>
      </c>
      <c r="C91" s="55" t="str">
        <f>IF(OR(""="",71.04334=""),"-",71.04334/""*100)</f>
        <v>-</v>
      </c>
      <c r="D91" s="55" t="str">
        <f>IF(""="","-",""/528166.929*100)</f>
        <v>-</v>
      </c>
      <c r="E91" s="55">
        <f>IF(71.04334="","-",71.04334/678228.23986*100)</f>
        <v>0.010474842512406265</v>
      </c>
      <c r="F91" s="55" t="str">
        <f>IF(OR(416515.52507="",566.53723="",""=""),"-",(""-566.53723)/416515.52507*100)</f>
        <v>-</v>
      </c>
      <c r="G91" s="55" t="str">
        <f>IF(OR(528166.929="",71.04334="",""=""),"-",(71.04334-"")/528166.929*100)</f>
        <v>-</v>
      </c>
    </row>
    <row r="92" spans="1:7" ht="15.75">
      <c r="A92" s="39" t="s">
        <v>208</v>
      </c>
      <c r="B92" s="55">
        <f>IF(69.77432="","-",69.77432)</f>
        <v>69.77432</v>
      </c>
      <c r="C92" s="55" t="str">
        <f>IF(OR(""="",69.77432=""),"-",69.77432/""*100)</f>
        <v>-</v>
      </c>
      <c r="D92" s="55" t="str">
        <f>IF(""="","-",""/528166.929*100)</f>
        <v>-</v>
      </c>
      <c r="E92" s="55">
        <f>IF(69.77432="","-",69.77432/678228.23986*100)</f>
        <v>0.010287734408464448</v>
      </c>
      <c r="F92" s="55" t="str">
        <f>IF(OR(416515.52507="",""="",""=""),"-",(""-"")/416515.52507*100)</f>
        <v>-</v>
      </c>
      <c r="G92" s="55" t="str">
        <f>IF(OR(528166.929="",69.77432="",""=""),"-",(69.77432-"")/528166.929*100)</f>
        <v>-</v>
      </c>
    </row>
    <row r="93" spans="1:7" ht="15.75">
      <c r="A93" s="39" t="s">
        <v>110</v>
      </c>
      <c r="B93" s="55">
        <f>IF(53.53212="","-",53.53212)</f>
        <v>53.53212</v>
      </c>
      <c r="C93" s="55">
        <f>IF(OR(105.8603="",53.53212=""),"-",53.53212/105.8603*100)</f>
        <v>50.56864565847632</v>
      </c>
      <c r="D93" s="55">
        <f>IF(105.8603="","-",105.8603/528166.929*100)</f>
        <v>0.020042962591472667</v>
      </c>
      <c r="E93" s="55">
        <f>IF(53.53212="","-",53.53212/678228.23986*100)</f>
        <v>0.007892935866405403</v>
      </c>
      <c r="F93" s="55">
        <f>IF(OR(416515.52507="",228.78173="",105.8603=""),"-",(105.8603-228.78173)/416515.52507*100)</f>
        <v>-0.029511848322902663</v>
      </c>
      <c r="G93" s="55">
        <f>IF(OR(528166.929="",53.53212="",105.8603=""),"-",(53.53212-105.8603)/528166.929*100)</f>
        <v>-0.009907507859129892</v>
      </c>
    </row>
    <row r="94" spans="1:7" ht="15.75">
      <c r="A94" s="39" t="s">
        <v>267</v>
      </c>
      <c r="B94" s="55">
        <f>IF(48.96218="","-",48.96218)</f>
        <v>48.96218</v>
      </c>
      <c r="C94" s="55" t="s">
        <v>223</v>
      </c>
      <c r="D94" s="55">
        <f>IF(8.936="","-",8.936/528166.929*100)</f>
        <v>0.0016918893458397507</v>
      </c>
      <c r="E94" s="55">
        <f>IF(48.96218="","-",48.96218/678228.23986*100)</f>
        <v>0.00721913024590465</v>
      </c>
      <c r="F94" s="55">
        <f>IF(OR(416515.52507="",50.13236="",8.936=""),"-",(8.936-50.13236)/416515.52507*100)</f>
        <v>-0.009890714155991305</v>
      </c>
      <c r="G94" s="55">
        <f>IF(OR(528166.929="",48.96218="",8.936=""),"-",(48.96218-8.936)/528166.929*100)</f>
        <v>0.007578319997388552</v>
      </c>
    </row>
    <row r="95" spans="1:7" ht="15.75">
      <c r="A95" s="65" t="s">
        <v>26</v>
      </c>
      <c r="B95" s="65"/>
      <c r="C95" s="65"/>
      <c r="D95" s="65"/>
      <c r="E95" s="65"/>
      <c r="F95" s="65"/>
      <c r="G95" s="65"/>
    </row>
  </sheetData>
  <sheetProtection/>
  <mergeCells count="10">
    <mergeCell ref="A95:G95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08"/>
  <sheetViews>
    <sheetView zoomScalePageLayoutView="0" workbookViewId="0" topLeftCell="A1">
      <selection activeCell="A1" sqref="A1:G1"/>
    </sheetView>
  </sheetViews>
  <sheetFormatPr defaultColWidth="9.00390625" defaultRowHeight="15.75"/>
  <cols>
    <col min="1" max="1" width="33.625" style="0" customWidth="1"/>
    <col min="2" max="2" width="11.50390625" style="0" customWidth="1"/>
    <col min="3" max="3" width="9.75390625" style="0" customWidth="1"/>
    <col min="4" max="4" width="7.625" style="0" customWidth="1"/>
    <col min="5" max="5" width="7.75390625" style="0" customWidth="1"/>
    <col min="6" max="6" width="9.625" style="0" customWidth="1"/>
    <col min="7" max="7" width="9.875" style="0" customWidth="1"/>
  </cols>
  <sheetData>
    <row r="1" spans="1:7" ht="15.75">
      <c r="A1" s="79" t="s">
        <v>240</v>
      </c>
      <c r="B1" s="79"/>
      <c r="C1" s="79"/>
      <c r="D1" s="79"/>
      <c r="E1" s="79"/>
      <c r="F1" s="79"/>
      <c r="G1" s="79"/>
    </row>
    <row r="2" ht="15.75">
      <c r="A2" s="2"/>
    </row>
    <row r="3" spans="1:7" ht="55.5" customHeight="1">
      <c r="A3" s="67"/>
      <c r="B3" s="70" t="s">
        <v>248</v>
      </c>
      <c r="C3" s="71"/>
      <c r="D3" s="70" t="s">
        <v>209</v>
      </c>
      <c r="E3" s="71"/>
      <c r="F3" s="72" t="s">
        <v>247</v>
      </c>
      <c r="G3" s="73"/>
    </row>
    <row r="4" spans="1:7" ht="27" customHeight="1">
      <c r="A4" s="68"/>
      <c r="B4" s="74" t="s">
        <v>183</v>
      </c>
      <c r="C4" s="76" t="s">
        <v>249</v>
      </c>
      <c r="D4" s="78" t="s">
        <v>250</v>
      </c>
      <c r="E4" s="78"/>
      <c r="F4" s="78" t="s">
        <v>250</v>
      </c>
      <c r="G4" s="70"/>
    </row>
    <row r="5" spans="1:7" ht="31.5" customHeight="1">
      <c r="A5" s="69"/>
      <c r="B5" s="75"/>
      <c r="C5" s="77"/>
      <c r="D5" s="48">
        <v>2017</v>
      </c>
      <c r="E5" s="48">
        <v>2018</v>
      </c>
      <c r="F5" s="48" t="s">
        <v>177</v>
      </c>
      <c r="G5" s="44" t="s">
        <v>215</v>
      </c>
    </row>
    <row r="6" spans="1:7" s="3" customFormat="1" ht="15">
      <c r="A6" s="7" t="s">
        <v>27</v>
      </c>
      <c r="B6" s="53">
        <f>IF(1326198.65303="","-",1326198.65303)</f>
        <v>1326198.65303</v>
      </c>
      <c r="C6" s="53">
        <f>IF(1030698.33623="","-",1326198.65303/1030698.33623*100)</f>
        <v>128.66991304952094</v>
      </c>
      <c r="D6" s="53">
        <v>100</v>
      </c>
      <c r="E6" s="53">
        <v>100</v>
      </c>
      <c r="F6" s="53">
        <f>IF(861112.79978="","-",(1030698.33623-861112.79978)/861112.79978*100)</f>
        <v>19.693765612742755</v>
      </c>
      <c r="G6" s="53">
        <f>IF(1030698.33623="","-",(1326198.65303-1030698.33623)/1030698.33623*100)</f>
        <v>28.669913049520936</v>
      </c>
    </row>
    <row r="7" spans="1:7" ht="12.75" customHeight="1">
      <c r="A7" s="8" t="s">
        <v>2</v>
      </c>
      <c r="B7" s="38"/>
      <c r="C7" s="34"/>
      <c r="D7" s="35"/>
      <c r="E7" s="35"/>
      <c r="F7" s="36"/>
      <c r="G7" s="36"/>
    </row>
    <row r="8" spans="1:7" ht="15.75">
      <c r="A8" s="9" t="s">
        <v>3</v>
      </c>
      <c r="B8" s="54">
        <f>IF(643870.98584="","-",643870.98584)</f>
        <v>643870.98584</v>
      </c>
      <c r="C8" s="54">
        <f>IF(490719.00193="","-",643870.98584/490719.00193*100)</f>
        <v>131.20971132311007</v>
      </c>
      <c r="D8" s="54">
        <f>IF(490719.00193="","-",490719.00193/1030698.33623*100)</f>
        <v>47.6103419090507</v>
      </c>
      <c r="E8" s="54">
        <f>IF(643870.98584="","-",643870.98584/1326198.65303*100)</f>
        <v>48.5501161058286</v>
      </c>
      <c r="F8" s="54">
        <f>IF(861112.79978="","-",(490719.00193-398472.98025)/861112.79978*100)</f>
        <v>10.712420219925582</v>
      </c>
      <c r="G8" s="54">
        <f>IF(1030698.33623="","-",(643870.98584-490719.00193)/1030698.33623*100)</f>
        <v>14.859050269760418</v>
      </c>
    </row>
    <row r="9" spans="1:7" s="16" customFormat="1" ht="15.75">
      <c r="A9" s="39" t="s">
        <v>253</v>
      </c>
      <c r="B9" s="55">
        <f>IF(171933.98675="","-",171933.98675)</f>
        <v>171933.98675</v>
      </c>
      <c r="C9" s="55">
        <f>IF(OR(139048.07919="",171933.98675=""),"-",171933.98675/139048.07919*100)</f>
        <v>123.6507456640689</v>
      </c>
      <c r="D9" s="55">
        <f>IF(139048.07919="","-",139048.07919/1030698.33623*100)</f>
        <v>13.490666890818718</v>
      </c>
      <c r="E9" s="55">
        <f>IF(171933.98675="","-",171933.98675/1326198.65303*100)</f>
        <v>12.96442175967967</v>
      </c>
      <c r="F9" s="55">
        <f>IF(OR(861112.79978="",99930.41421="",139048.07919=""),"-",(139048.07919-99930.41421)/861112.79978*100)</f>
        <v>4.542687669953796</v>
      </c>
      <c r="G9" s="55">
        <f>IF(OR(1030698.33623="",171933.98675="",139048.07919=""),"-",(171933.98675-139048.07919)/1030698.33623*100)</f>
        <v>3.190643314734287</v>
      </c>
    </row>
    <row r="10" spans="1:7" s="16" customFormat="1" ht="15.75">
      <c r="A10" s="39" t="s">
        <v>6</v>
      </c>
      <c r="B10" s="55">
        <f>IF(110850.71125="","-",110850.71125)</f>
        <v>110850.71125</v>
      </c>
      <c r="C10" s="55">
        <f>IF(OR(80843.43214="",110850.71125=""),"-",110850.71125/80843.43214*100)</f>
        <v>137.11776988640847</v>
      </c>
      <c r="D10" s="55">
        <f>IF(80843.43214="","-",80843.43214/1030698.33623*100)</f>
        <v>7.84355900250137</v>
      </c>
      <c r="E10" s="55">
        <f>IF(110850.71125="","-",110850.71125/1326198.65303*100)</f>
        <v>8.358529922854057</v>
      </c>
      <c r="F10" s="55">
        <f>IF(OR(861112.79978="",65376.45218="",80843.43214=""),"-",(80843.43214-65376.45218)/861112.79978*100)</f>
        <v>1.7961618923736309</v>
      </c>
      <c r="G10" s="55">
        <f>IF(OR(1030698.33623="",110850.71125="",80843.43214=""),"-",(110850.71125-80843.43214)/1030698.33623*100)</f>
        <v>2.911354181453134</v>
      </c>
    </row>
    <row r="11" spans="1:7" s="16" customFormat="1" ht="15.75">
      <c r="A11" s="39" t="s">
        <v>5</v>
      </c>
      <c r="B11" s="55">
        <f>IF(85739.90747="","-",85739.90747)</f>
        <v>85739.90747</v>
      </c>
      <c r="C11" s="55">
        <f>IF(OR(64958.95469="",85739.90747=""),"-",85739.90747/64958.95469*100)</f>
        <v>131.99089775870286</v>
      </c>
      <c r="D11" s="55">
        <f>IF(64958.95469="","-",64958.95469/1030698.33623*100)</f>
        <v>6.302421611312704</v>
      </c>
      <c r="E11" s="55">
        <f>IF(85739.90747="","-",85739.90747/1326198.65303*100)</f>
        <v>6.465087811249684</v>
      </c>
      <c r="F11" s="55">
        <f>IF(OR(861112.79978="",56900.67282="",64958.95469=""),"-",(64958.95469-56900.67282)/861112.79978*100)</f>
        <v>0.935798640092071</v>
      </c>
      <c r="G11" s="55">
        <f>IF(OR(1030698.33623="",85739.90747="",64958.95469=""),"-",(85739.90747-64958.95469)/1030698.33623*100)</f>
        <v>2.0162012539974397</v>
      </c>
    </row>
    <row r="12" spans="1:7" s="16" customFormat="1" ht="15.75">
      <c r="A12" s="39" t="s">
        <v>7</v>
      </c>
      <c r="B12" s="55">
        <f>IF(45551.73168="","-",45551.73168)</f>
        <v>45551.73168</v>
      </c>
      <c r="C12" s="55">
        <f>IF(OR(30217.19268="",45551.73168=""),"-",45551.73168/30217.19268*100)</f>
        <v>150.7477288257474</v>
      </c>
      <c r="D12" s="55">
        <f>IF(30217.19268="","-",30217.19268/1030698.33623*100)</f>
        <v>2.931720331530354</v>
      </c>
      <c r="E12" s="55">
        <f>IF(45551.73168="","-",45551.73168/1326198.65303*100)</f>
        <v>3.43475930818711</v>
      </c>
      <c r="F12" s="55">
        <f>IF(OR(861112.79978="",24510.32214="",30217.19268=""),"-",(30217.19268-24510.32214)/861112.79978*100)</f>
        <v>0.6627320533916127</v>
      </c>
      <c r="G12" s="55">
        <f>IF(OR(1030698.33623="",45551.73168="",30217.19268=""),"-",(45551.73168-30217.19268)/1030698.33623*100)</f>
        <v>1.487781483774327</v>
      </c>
    </row>
    <row r="13" spans="1:7" s="16" customFormat="1" ht="15.75">
      <c r="A13" s="39" t="s">
        <v>188</v>
      </c>
      <c r="B13" s="55">
        <f>IF(39757.03702="","-",39757.03702)</f>
        <v>39757.03702</v>
      </c>
      <c r="C13" s="55">
        <f>IF(OR(31409.56174="",39757.03702=""),"-",39757.03702/31409.56174*100)</f>
        <v>126.57622334592944</v>
      </c>
      <c r="D13" s="55">
        <f>IF(31409.56174="","-",31409.56174/1030698.33623*100)</f>
        <v>3.047405883557279</v>
      </c>
      <c r="E13" s="55">
        <f>IF(39757.03702="","-",39757.03702/1326198.65303*100)</f>
        <v>2.997819137364232</v>
      </c>
      <c r="F13" s="55">
        <f>IF(OR(861112.79978="",25021.87423="",31409.56174=""),"-",(31409.56174-25021.87423)/861112.79978*100)</f>
        <v>0.7417945142183403</v>
      </c>
      <c r="G13" s="55">
        <f>IF(OR(1030698.33623="",39757.03702="",31409.56174=""),"-",(39757.03702-31409.56174)/1030698.33623*100)</f>
        <v>0.809885393871177</v>
      </c>
    </row>
    <row r="14" spans="1:7" s="16" customFormat="1" ht="15.75">
      <c r="A14" s="39" t="s">
        <v>118</v>
      </c>
      <c r="B14" s="55">
        <f>IF(31600.30081="","-",31600.30081)</f>
        <v>31600.30081</v>
      </c>
      <c r="C14" s="55">
        <f>IF(OR(22900.8816="",31600.30081=""),"-",31600.30081/22900.8816*100)</f>
        <v>137.98726774780584</v>
      </c>
      <c r="D14" s="55">
        <f>IF(22900.8816="","-",22900.8816/1030698.33623*100)</f>
        <v>2.2218801365067575</v>
      </c>
      <c r="E14" s="55">
        <f>IF(31600.30081="","-",31600.30081/1326198.65303*100)</f>
        <v>2.382772802385373</v>
      </c>
      <c r="F14" s="55">
        <f>IF(OR(861112.79978="",16018.91525="",22900.8816=""),"-",(22900.8816-16018.91525)/861112.79978*100)</f>
        <v>0.7991945250097582</v>
      </c>
      <c r="G14" s="55">
        <f>IF(OR(1030698.33623="",31600.30081="",22900.8816=""),"-",(31600.30081-22900.8816)/1030698.33623*100)</f>
        <v>0.8440315564901355</v>
      </c>
    </row>
    <row r="15" spans="1:7" s="16" customFormat="1" ht="15.75">
      <c r="A15" s="39" t="s">
        <v>10</v>
      </c>
      <c r="B15" s="55">
        <f>IF(24453.41676="","-",24453.41676)</f>
        <v>24453.41676</v>
      </c>
      <c r="C15" s="55" t="s">
        <v>200</v>
      </c>
      <c r="D15" s="55">
        <f>IF(14250.49986="","-",14250.49986/1030698.33623*100)</f>
        <v>1.3826062737351703</v>
      </c>
      <c r="E15" s="55">
        <f>IF(24453.41676="","-",24453.41676/1326198.65303*100)</f>
        <v>1.8438728394219566</v>
      </c>
      <c r="F15" s="55">
        <f>IF(OR(861112.79978="",18375.22451="",14250.49986=""),"-",(14250.49986-18375.22451)/861112.79978*100)</f>
        <v>-0.47899934260108534</v>
      </c>
      <c r="G15" s="55">
        <f>IF(OR(1030698.33623="",24453.41676="",14250.49986=""),"-",(24453.41676-14250.49986)/1030698.33623*100)</f>
        <v>0.9899033054927939</v>
      </c>
    </row>
    <row r="16" spans="1:7" s="16" customFormat="1" ht="15.75">
      <c r="A16" s="39" t="s">
        <v>255</v>
      </c>
      <c r="B16" s="55">
        <f>IF(19735.96081="","-",19735.96081)</f>
        <v>19735.96081</v>
      </c>
      <c r="C16" s="55">
        <f>IF(OR(14464.35902="",19735.96081=""),"-",19735.96081/14464.35902*100)</f>
        <v>136.44545729756092</v>
      </c>
      <c r="D16" s="55">
        <f>IF(14464.35902="","-",14464.35902/1030698.33623*100)</f>
        <v>1.4033552312606317</v>
      </c>
      <c r="E16" s="55">
        <f>IF(19735.96081="","-",19735.96081/1326198.65303*100)</f>
        <v>1.4881602213144123</v>
      </c>
      <c r="F16" s="55">
        <f>IF(OR(861112.79978="",11278.25286="",14464.35902=""),"-",(14464.35902-11278.25286)/861112.79978*100)</f>
        <v>0.36999869945191804</v>
      </c>
      <c r="G16" s="55">
        <f>IF(OR(1030698.33623="",19735.96081="",14464.35902=""),"-",(19735.96081-14464.35902)/1030698.33623*100)</f>
        <v>0.5114592315421808</v>
      </c>
    </row>
    <row r="17" spans="1:7" s="16" customFormat="1" ht="15.75">
      <c r="A17" s="39" t="s">
        <v>116</v>
      </c>
      <c r="B17" s="55">
        <f>IF(19334.48384="","-",19334.48384)</f>
        <v>19334.48384</v>
      </c>
      <c r="C17" s="55">
        <f>IF(OR(13867.04277="",19334.48384=""),"-",19334.48384/13867.04277*100)</f>
        <v>139.42759217436236</v>
      </c>
      <c r="D17" s="55">
        <f>IF(13867.04277="","-",13867.04277/1030698.33623*100)</f>
        <v>1.3454026539638824</v>
      </c>
      <c r="E17" s="55">
        <f>IF(19334.48384="","-",19334.48384/1326198.65303*100)</f>
        <v>1.457887458702059</v>
      </c>
      <c r="F17" s="55">
        <f>IF(OR(861112.79978="",12355.2598="",13867.04277=""),"-",(13867.04277-12355.2598)/861112.79978*100)</f>
        <v>0.17556154900800866</v>
      </c>
      <c r="G17" s="55">
        <f>IF(OR(1030698.33623="",19334.48384="",13867.04277=""),"-",(19334.48384-13867.04277)/1030698.33623*100)</f>
        <v>0.5304598715079272</v>
      </c>
    </row>
    <row r="18" spans="1:7" s="16" customFormat="1" ht="15.75">
      <c r="A18" s="39" t="s">
        <v>8</v>
      </c>
      <c r="B18" s="55">
        <f>IF(14362.47108="","-",14362.47108)</f>
        <v>14362.47108</v>
      </c>
      <c r="C18" s="55">
        <f>IF(OR(14455.09795="",14362.47108=""),"-",14362.47108/14455.09795*100)</f>
        <v>99.35920966900123</v>
      </c>
      <c r="D18" s="55">
        <f>IF(14455.09795="","-",14455.09795/1030698.33623*100)</f>
        <v>1.40245670744678</v>
      </c>
      <c r="E18" s="55">
        <f>IF(14362.47108="","-",14362.47108/1326198.65303*100)</f>
        <v>1.0829803700362457</v>
      </c>
      <c r="F18" s="55">
        <f>IF(OR(861112.79978="",10083.67335="",14455.09795=""),"-",(14455.09795-10083.67335)/861112.79978*100)</f>
        <v>0.5076483128710695</v>
      </c>
      <c r="G18" s="55">
        <f>IF(OR(1030698.33623="",14362.47108="",14455.09795=""),"-",(14362.47108-14455.09795)/1030698.33623*100)</f>
        <v>-0.008986806977762541</v>
      </c>
    </row>
    <row r="19" spans="1:7" s="16" customFormat="1" ht="15.75" customHeight="1">
      <c r="A19" s="39" t="s">
        <v>12</v>
      </c>
      <c r="B19" s="55">
        <f>IF(14153.19483="","-",14153.19483)</f>
        <v>14153.19483</v>
      </c>
      <c r="C19" s="55">
        <f>IF(OR(10417.87003="",14153.19483=""),"-",14153.19483/10417.87003*100)</f>
        <v>135.85497600990902</v>
      </c>
      <c r="D19" s="55">
        <f>IF(10417.87003="","-",10417.87003/1030698.33623*100)</f>
        <v>1.0107584017362046</v>
      </c>
      <c r="E19" s="55">
        <f>IF(14153.19483="","-",14153.19483/1326198.65303*100)</f>
        <v>1.067200211496508</v>
      </c>
      <c r="F19" s="55">
        <f>IF(OR(861112.79978="",9120.49365="",10417.87003=""),"-",(10417.87003-9120.49365)/861112.79978*100)</f>
        <v>0.15066276802893394</v>
      </c>
      <c r="G19" s="55">
        <f>IF(OR(1030698.33623="",14153.19483="",10417.87003=""),"-",(14153.19483-10417.87003)/1030698.33623*100)</f>
        <v>0.36240718246065584</v>
      </c>
    </row>
    <row r="20" spans="1:7" s="16" customFormat="1" ht="15.75">
      <c r="A20" s="39" t="s">
        <v>254</v>
      </c>
      <c r="B20" s="55">
        <f>IF(13798.12956="","-",13798.12956)</f>
        <v>13798.12956</v>
      </c>
      <c r="C20" s="55">
        <f>IF(OR(12727.3042="",13798.12956=""),"-",13798.12956/12727.3042*100)</f>
        <v>108.4136070229232</v>
      </c>
      <c r="D20" s="55">
        <f>IF(12727.3042="","-",12727.3042/1030698.33623*100)</f>
        <v>1.2348233961988182</v>
      </c>
      <c r="E20" s="55">
        <f>IF(13798.12956="","-",13798.12956/1326198.65303*100)</f>
        <v>1.0404270528005033</v>
      </c>
      <c r="F20" s="55">
        <f>IF(OR(861112.79978="",13877.95979="",12727.3042=""),"-",(12727.3042-13877.95979)/861112.79978*100)</f>
        <v>-0.13362425808720688</v>
      </c>
      <c r="G20" s="55">
        <f>IF(OR(1030698.33623="",13798.12956="",12727.3042=""),"-",(13798.12956-12727.3042)/1030698.33623*100)</f>
        <v>0.1038931879832825</v>
      </c>
    </row>
    <row r="21" spans="1:7" s="16" customFormat="1" ht="15.75">
      <c r="A21" s="39" t="s">
        <v>117</v>
      </c>
      <c r="B21" s="55">
        <f>IF(9500.61789="","-",9500.61789)</f>
        <v>9500.61789</v>
      </c>
      <c r="C21" s="55">
        <f>IF(OR(8283.99489="",9500.61789=""),"-",9500.61789/8283.99489*100)</f>
        <v>114.68642866340542</v>
      </c>
      <c r="D21" s="55">
        <f>IF(8283.99489="","-",8283.99489/1030698.33623*100)</f>
        <v>0.803726424969355</v>
      </c>
      <c r="E21" s="55">
        <f>IF(9500.61789="","-",9500.61789/1326198.65303*100)</f>
        <v>0.716379696834535</v>
      </c>
      <c r="F21" s="55">
        <f>IF(OR(861112.79978="",6285.88048="",8283.99489=""),"-",(8283.99489-6285.88048)/861112.79978*100)</f>
        <v>0.23203863773834105</v>
      </c>
      <c r="G21" s="55">
        <f>IF(OR(1030698.33623="",9500.61789="",8283.99489=""),"-",(9500.61789-8283.99489)/1030698.33623*100)</f>
        <v>0.11803870805206292</v>
      </c>
    </row>
    <row r="22" spans="1:7" s="16" customFormat="1" ht="15.75">
      <c r="A22" s="39" t="s">
        <v>120</v>
      </c>
      <c r="B22" s="55">
        <f>IF(7398.87413="","-",7398.87413)</f>
        <v>7398.87413</v>
      </c>
      <c r="C22" s="55" t="s">
        <v>201</v>
      </c>
      <c r="D22" s="55">
        <f>IF(4701.15211="","-",4701.15211/1030698.33623*100)</f>
        <v>0.456113291809073</v>
      </c>
      <c r="E22" s="55">
        <f>IF(7398.87413="","-",7398.87413/1326198.65303*100)</f>
        <v>0.5579008931350974</v>
      </c>
      <c r="F22" s="55">
        <f>IF(OR(861112.79978="",3132.27751="",4701.15211=""),"-",(4701.15211-3132.27751)/861112.79978*100)</f>
        <v>0.182191531748317</v>
      </c>
      <c r="G22" s="55">
        <f>IF(OR(1030698.33623="",7398.87413="",4701.15211=""),"-",(7398.87413-4701.15211)/1030698.33623*100)</f>
        <v>0.26173730229035747</v>
      </c>
    </row>
    <row r="23" spans="1:7" s="16" customFormat="1" ht="15.75">
      <c r="A23" s="39" t="s">
        <v>126</v>
      </c>
      <c r="B23" s="55">
        <f>IF(6533.85617="","-",6533.85617)</f>
        <v>6533.85617</v>
      </c>
      <c r="C23" s="55">
        <f>IF(OR(4321.47122="",6533.85617=""),"-",6533.85617/4321.47122*100)</f>
        <v>151.19517954350738</v>
      </c>
      <c r="D23" s="55">
        <f>IF(4321.47122="","-",4321.47122/1030698.33623*100)</f>
        <v>0.41927604499748267</v>
      </c>
      <c r="E23" s="55">
        <f>IF(6533.85617="","-",6533.85617/1326198.65303*100)</f>
        <v>0.4926755245205484</v>
      </c>
      <c r="F23" s="55">
        <f>IF(OR(861112.79978="",3738.58883="",4321.47122=""),"-",(4321.47122-3738.58883)/861112.79978*100)</f>
        <v>0.06768943512962726</v>
      </c>
      <c r="G23" s="55">
        <f>IF(OR(1030698.33623="",6533.85617="",4321.47122=""),"-",(6533.85617-4321.47122)/1030698.33623*100)</f>
        <v>0.2146491240193781</v>
      </c>
    </row>
    <row r="24" spans="1:7" s="16" customFormat="1" ht="15.75">
      <c r="A24" s="39" t="s">
        <v>128</v>
      </c>
      <c r="B24" s="55">
        <f>IF(5322.96507="","-",5322.96507)</f>
        <v>5322.96507</v>
      </c>
      <c r="C24" s="55">
        <f>IF(OR(4146.88802="",5322.96507=""),"-",5322.96507/4146.88802*100)</f>
        <v>128.3604728251138</v>
      </c>
      <c r="D24" s="55">
        <f>IF(4146.88802="","-",4146.88802/1030698.33623*100)</f>
        <v>0.40233770388803886</v>
      </c>
      <c r="E24" s="55">
        <f>IF(5322.96507="","-",5322.96507/1326198.65303*100)</f>
        <v>0.40137011584489896</v>
      </c>
      <c r="F24" s="55">
        <f>IF(OR(861112.79978="",2739.14807="",4146.88802=""),"-",(4146.88802-2739.14807)/861112.79978*100)</f>
        <v>0.16347915747619293</v>
      </c>
      <c r="G24" s="55">
        <f>IF(OR(1030698.33623="",5322.96507="",4146.88802=""),"-",(5322.96507-4146.88802)/1030698.33623*100)</f>
        <v>0.11410487517635409</v>
      </c>
    </row>
    <row r="25" spans="1:7" s="16" customFormat="1" ht="15.75">
      <c r="A25" s="39" t="s">
        <v>11</v>
      </c>
      <c r="B25" s="55">
        <f>IF(4919.63933="","-",4919.63933)</f>
        <v>4919.63933</v>
      </c>
      <c r="C25" s="55">
        <f>IF(OR(4433.57409="",4919.63933=""),"-",4919.63933/4433.57409*100)</f>
        <v>110.96328222181575</v>
      </c>
      <c r="D25" s="55">
        <f>IF(4433.57409="","-",4433.57409/1030698.33623*100)</f>
        <v>0.4301524446247529</v>
      </c>
      <c r="E25" s="55">
        <f>IF(4919.63933="","-",4919.63933/1326198.65303*100)</f>
        <v>0.37095794953191774</v>
      </c>
      <c r="F25" s="55">
        <f>IF(OR(861112.79978="",4325.51588="",4433.57409=""),"-",(4433.57409-4325.51588)/861112.79978*100)</f>
        <v>0.012548670746458213</v>
      </c>
      <c r="G25" s="55">
        <f>IF(OR(1030698.33623="",4919.63933="",4433.57409=""),"-",(4919.63933-4433.57409)/1030698.33623*100)</f>
        <v>0.04715882648825142</v>
      </c>
    </row>
    <row r="26" spans="1:7" s="16" customFormat="1" ht="15.75">
      <c r="A26" s="39" t="s">
        <v>127</v>
      </c>
      <c r="B26" s="55">
        <f>IF(4194.44228="","-",4194.44228)</f>
        <v>4194.44228</v>
      </c>
      <c r="C26" s="55">
        <f>IF(OR(2788.75446="",4194.44228=""),"-",4194.44228/2788.75446*100)</f>
        <v>150.40557855351668</v>
      </c>
      <c r="D26" s="55">
        <f>IF(2788.75446="","-",2788.75446/1030698.33623*100)</f>
        <v>0.2705694151210593</v>
      </c>
      <c r="E26" s="55">
        <f>IF(4194.44228="","-",4194.44228/1326198.65303*100)</f>
        <v>0.3162755647818561</v>
      </c>
      <c r="F26" s="55">
        <f>IF(OR(861112.79978="",2731.29398="",2788.75446=""),"-",(2788.75446-2731.29398)/861112.79978*100)</f>
        <v>0.006672816849857578</v>
      </c>
      <c r="G26" s="55">
        <f>IF(OR(1030698.33623="",4194.44228="",2788.75446=""),"-",(4194.44228-2788.75446)/1030698.33623*100)</f>
        <v>0.1363820790806362</v>
      </c>
    </row>
    <row r="27" spans="1:7" s="16" customFormat="1" ht="15.75">
      <c r="A27" s="39" t="s">
        <v>124</v>
      </c>
      <c r="B27" s="55">
        <f>IF(3931.54273="","-",3931.54273)</f>
        <v>3931.54273</v>
      </c>
      <c r="C27" s="55">
        <f>IF(OR(3360.61633="",3931.54273=""),"-",3931.54273/3360.61633*100)</f>
        <v>116.98874087182693</v>
      </c>
      <c r="D27" s="55">
        <f>IF(3360.61633="","-",3360.61633/1030698.33623*100)</f>
        <v>0.326052367785144</v>
      </c>
      <c r="E27" s="55">
        <f>IF(3931.54273="","-",3931.54273/1326198.65303*100)</f>
        <v>0.296452022554653</v>
      </c>
      <c r="F27" s="55">
        <f>IF(OR(861112.79978="",2531.8824="",3360.61633=""),"-",(3360.61633-2531.8824)/861112.79978*100)</f>
        <v>0.09623988056056391</v>
      </c>
      <c r="G27" s="55">
        <f>IF(OR(1030698.33623="",3931.54273="",3360.61633=""),"-",(3931.54273-3360.61633)/1030698.33623*100)</f>
        <v>0.05539219186947423</v>
      </c>
    </row>
    <row r="28" spans="1:7" s="16" customFormat="1" ht="15.75">
      <c r="A28" s="39" t="s">
        <v>121</v>
      </c>
      <c r="B28" s="55">
        <f>IF(2813.8363="","-",2813.8363)</f>
        <v>2813.8363</v>
      </c>
      <c r="C28" s="55" t="s">
        <v>200</v>
      </c>
      <c r="D28" s="55">
        <f>IF(1639.52612="","-",1639.52612/1030698.33623*100)</f>
        <v>0.15906944470260018</v>
      </c>
      <c r="E28" s="55">
        <f>IF(2813.8363="","-",2813.8363/1326198.65303*100)</f>
        <v>0.21217306272866107</v>
      </c>
      <c r="F28" s="55">
        <f>IF(OR(861112.79978="",1997.40357="",1639.52612=""),"-",(1639.52612-1997.40357)/861112.79978*100)</f>
        <v>-0.041559880435110434</v>
      </c>
      <c r="G28" s="55">
        <f>IF(OR(1030698.33623="",2813.8363="",1639.52612=""),"-",(2813.8363-1639.52612)/1030698.33623*100)</f>
        <v>0.11393345062487353</v>
      </c>
    </row>
    <row r="29" spans="1:7" s="16" customFormat="1" ht="15.75">
      <c r="A29" s="39" t="s">
        <v>119</v>
      </c>
      <c r="B29" s="55">
        <f>IF(2541.14141999999="","-",2541.14141999999)</f>
        <v>2541.14141999999</v>
      </c>
      <c r="C29" s="55">
        <f>IF(OR(2647.66217="",2541.14141999999=""),"-",2541.14141999999/2647.66217*100)</f>
        <v>95.97679978937758</v>
      </c>
      <c r="D29" s="55">
        <f>IF(2647.66217="","-",2647.66217/1030698.33623*100)</f>
        <v>0.25688041563008546</v>
      </c>
      <c r="E29" s="55">
        <f>IF(2541.14141999999="","-",2541.14141999999/1326198.65303*100)</f>
        <v>0.19161091848451053</v>
      </c>
      <c r="F29" s="55">
        <f>IF(OR(861112.79978="",3986.61041="",2647.66217=""),"-",(2647.66217-3986.61041)/861112.79978*100)</f>
        <v>-0.1554904584326326</v>
      </c>
      <c r="G29" s="55">
        <f>IF(OR(1030698.33623="",2541.14141999999="",2647.66217=""),"-",(2541.14141999999-2647.66217)/1030698.33623*100)</f>
        <v>-0.010334813422677346</v>
      </c>
    </row>
    <row r="30" spans="1:7" s="16" customFormat="1" ht="15.75">
      <c r="A30" s="39" t="s">
        <v>125</v>
      </c>
      <c r="B30" s="55">
        <f>IF(1852.72336="","-",1852.72336)</f>
        <v>1852.72336</v>
      </c>
      <c r="C30" s="55">
        <f>IF(OR(1499.19649="",1852.72336=""),"-",1852.72336/1499.19649*100)</f>
        <v>123.58108976095588</v>
      </c>
      <c r="D30" s="55">
        <f>IF(1499.19649="","-",1499.19649/1030698.33623*100)</f>
        <v>0.1454544397038257</v>
      </c>
      <c r="E30" s="55">
        <f>IF(1852.72336="","-",1852.72336/1326198.65303*100)</f>
        <v>0.13970179774855265</v>
      </c>
      <c r="F30" s="55">
        <f>IF(OR(861112.79978="",1579.23181="",1499.19649=""),"-",(1499.19649-1579.23181)/861112.79978*100)</f>
        <v>-0.009294406031410478</v>
      </c>
      <c r="G30" s="55">
        <f>IF(OR(1030698.33623="",1852.72336="",1499.19649=""),"-",(1852.72336-1499.19649)/1030698.33623*100)</f>
        <v>0.034299741987854585</v>
      </c>
    </row>
    <row r="31" spans="1:7" s="16" customFormat="1" ht="15.75">
      <c r="A31" s="39" t="s">
        <v>129</v>
      </c>
      <c r="B31" s="55">
        <f>IF(1379.16551="","-",1379.16551)</f>
        <v>1379.16551</v>
      </c>
      <c r="C31" s="55">
        <f>IF(OR(1186.15166="",1379.16551=""),"-",1379.16551/1186.15166*100)</f>
        <v>116.27227415421734</v>
      </c>
      <c r="D31" s="55">
        <f>IF(1186.15166="","-",1186.15166/1030698.33623*100)</f>
        <v>0.11508232994132928</v>
      </c>
      <c r="E31" s="55">
        <f>IF(1379.16551="","-",1379.16551/1326198.65303*100)</f>
        <v>0.10399388559541856</v>
      </c>
      <c r="F31" s="55">
        <f>IF(OR(861112.79978="",1025.32805="",1186.15166=""),"-",(1186.15166-1025.32805)/861112.79978*100)</f>
        <v>0.018676253568764473</v>
      </c>
      <c r="G31" s="55">
        <f>IF(OR(1030698.33623="",1379.16551="",1186.15166=""),"-",(1379.16551-1186.15166)/1030698.33623*100)</f>
        <v>0.01872651223111406</v>
      </c>
    </row>
    <row r="32" spans="1:7" s="16" customFormat="1" ht="15.75">
      <c r="A32" s="39" t="s">
        <v>122</v>
      </c>
      <c r="B32" s="55">
        <f>IF(1001.68517="","-",1001.68517)</f>
        <v>1001.68517</v>
      </c>
      <c r="C32" s="55">
        <f>IF(OR(1182.84739="",1001.68517=""),"-",1001.68517/1182.84739*100)</f>
        <v>84.68422710050534</v>
      </c>
      <c r="D32" s="55">
        <f>IF(1182.84739="","-",1182.84739/1030698.33623*100)</f>
        <v>0.11476174438454201</v>
      </c>
      <c r="E32" s="55">
        <f>IF(1001.68517="","-",1001.68517/1326198.65303*100)</f>
        <v>0.07553055250896419</v>
      </c>
      <c r="F32" s="55">
        <f>IF(OR(861112.79978="",916.88537="",1182.84739=""),"-",(1182.84739-916.88537)/861112.79978*100)</f>
        <v>0.03088585143176931</v>
      </c>
      <c r="G32" s="55">
        <f>IF(OR(1030698.33623="",1001.68517="",1182.84739=""),"-",(1001.68517-1182.84739)/1030698.33623*100)</f>
        <v>-0.017576648145435022</v>
      </c>
    </row>
    <row r="33" spans="1:7" s="16" customFormat="1" ht="15.75">
      <c r="A33" s="39" t="s">
        <v>256</v>
      </c>
      <c r="B33" s="55">
        <f>IF(628.32747="","-",628.32747)</f>
        <v>628.32747</v>
      </c>
      <c r="C33" s="55" t="s">
        <v>179</v>
      </c>
      <c r="D33" s="55">
        <f>IF(253.1002="","-",253.1002/1030698.33623*100)</f>
        <v>0.024556185947264473</v>
      </c>
      <c r="E33" s="55">
        <f>IF(628.32747="","-",628.32747/1326198.65303*100)</f>
        <v>0.047378080845161784</v>
      </c>
      <c r="F33" s="55">
        <f>IF(OR(861112.79978="",138.86424="",253.1002=""),"-",(253.1002-138.86424)/861112.79978*100)</f>
        <v>0.013266085468615192</v>
      </c>
      <c r="G33" s="55">
        <f>IF(OR(1030698.33623="",628.32747="",253.1002=""),"-",(628.32747-253.1002)/1030698.33623*100)</f>
        <v>0.03640514948073692</v>
      </c>
    </row>
    <row r="34" spans="1:7" s="16" customFormat="1" ht="15.75">
      <c r="A34" s="39" t="s">
        <v>123</v>
      </c>
      <c r="B34" s="55">
        <f>IF(304.22619="","-",304.22619)</f>
        <v>304.22619</v>
      </c>
      <c r="C34" s="55" t="s">
        <v>201</v>
      </c>
      <c r="D34" s="55">
        <f>IF(195.24721="","-",195.24721/1030698.33623*100)</f>
        <v>0.01894319638800995</v>
      </c>
      <c r="E34" s="55">
        <f>IF(304.22619="","-",304.22619/1326198.65303*100)</f>
        <v>0.0229397148990407</v>
      </c>
      <c r="F34" s="55">
        <f>IF(OR(861112.79978="",162.18153="",195.24721=""),"-",(195.24721-162.18153)/861112.79978*100)</f>
        <v>0.0038398778892205195</v>
      </c>
      <c r="G34" s="55">
        <f>IF(OR(1030698.33623="",304.22619="",195.24721=""),"-",(304.22619-195.24721)/1030698.33623*100)</f>
        <v>0.01057331482639372</v>
      </c>
    </row>
    <row r="35" spans="1:7" s="16" customFormat="1" ht="15.75">
      <c r="A35" s="39" t="s">
        <v>130</v>
      </c>
      <c r="B35" s="55">
        <f>IF(240.50547="","-",240.50547)</f>
        <v>240.50547</v>
      </c>
      <c r="C35" s="55">
        <f>IF(OR(470.57761="",240.50547=""),"-",240.50547/470.57761*100)</f>
        <v>51.108566342542304</v>
      </c>
      <c r="D35" s="55">
        <f>IF(470.57761="","-",470.57761/1030698.33623*100)</f>
        <v>0.045656191870963765</v>
      </c>
      <c r="E35" s="55">
        <f>IF(240.50547="","-",240.50547/1326198.65303*100)</f>
        <v>0.01813495055589983</v>
      </c>
      <c r="F35" s="55">
        <f>IF(OR(861112.79978="",300.80008="",470.57761=""),"-",(470.57761-300.80008)/861112.79978*100)</f>
        <v>0.01971606159418085</v>
      </c>
      <c r="G35" s="55">
        <f>IF(OR(1030698.33623="",240.50547="",470.57761=""),"-",(240.50547-470.57761)/1030698.33623*100)</f>
        <v>-0.02232196675911384</v>
      </c>
    </row>
    <row r="36" spans="1:7" s="16" customFormat="1" ht="15.75">
      <c r="A36" s="39" t="s">
        <v>131</v>
      </c>
      <c r="B36" s="55">
        <f>IF(36.10549="","-",36.10549)</f>
        <v>36.10549</v>
      </c>
      <c r="C36" s="55">
        <f>IF(OR(47.96609="",36.10549=""),"-",36.10549/47.96609*100)</f>
        <v>75.27294803474706</v>
      </c>
      <c r="D36" s="55">
        <f>IF(47.96609="","-",47.96609/1030698.33623*100)</f>
        <v>0.004653746718506042</v>
      </c>
      <c r="E36" s="55">
        <f>IF(36.10549="","-",36.10549/1326198.65303*100)</f>
        <v>0.0027224797670777953</v>
      </c>
      <c r="F36" s="55">
        <f>IF(OR(861112.79978="",31.57325="",47.96609=""),"-",(47.96609-31.57325)/861112.79978*100)</f>
        <v>0.0019036809119767001</v>
      </c>
      <c r="G36" s="55">
        <f>IF(OR(1030698.33623="",36.10549="",47.96609=""),"-",(36.10549-47.96609)/1030698.33623*100)</f>
        <v>-0.001150734369416243</v>
      </c>
    </row>
    <row r="37" spans="1:7" s="16" customFormat="1" ht="15.75">
      <c r="A37" s="15" t="s">
        <v>13</v>
      </c>
      <c r="B37" s="54">
        <f>IF(332558.08963="","-",332558.08963)</f>
        <v>332558.08963</v>
      </c>
      <c r="C37" s="54">
        <f>IF(271399.44562="","-",332558.08963/271399.44562*100)</f>
        <v>122.53455008733927</v>
      </c>
      <c r="D37" s="54">
        <f>IF(271399.44562="","-",271399.44562/1030698.33623*100)</f>
        <v>26.331608005956586</v>
      </c>
      <c r="E37" s="54">
        <f>IF(332558.08963="","-",332558.08963/1326198.65303*100)</f>
        <v>25.076038862669332</v>
      </c>
      <c r="F37" s="54">
        <f>IF(861112.79978="","-",(271399.44562-250519.17093)/861112.79978*100)</f>
        <v>2.42480133791236</v>
      </c>
      <c r="G37" s="54">
        <f>IF(1030698.33623="","-",(332558.08963-271399.44562)/1030698.33623*100)</f>
        <v>5.933709394904122</v>
      </c>
    </row>
    <row r="38" spans="1:7" s="16" customFormat="1" ht="15.75">
      <c r="A38" s="39" t="s">
        <v>257</v>
      </c>
      <c r="B38" s="55">
        <f>IF(201070.79329="","-",201070.79329)</f>
        <v>201070.79329</v>
      </c>
      <c r="C38" s="55">
        <f>IF(OR(159924.66152="",201070.79329=""),"-",201070.79329/159924.66152*100)</f>
        <v>125.7284469943082</v>
      </c>
      <c r="D38" s="55">
        <f>IF(159924.66152="","-",159924.66152/1030698.33623*100)</f>
        <v>15.51614627660686</v>
      </c>
      <c r="E38" s="55">
        <f>IF(201070.79329="","-",201070.79329/1326198.65303*100)</f>
        <v>15.161438509276753</v>
      </c>
      <c r="F38" s="55">
        <f>IF(OR(861112.79978="",158581.71377="",159924.66152=""),"-",(159924.66152-158581.71377)/861112.79978*100)</f>
        <v>0.15595491674761924</v>
      </c>
      <c r="G38" s="55">
        <f>IF(OR(1030698.33623="",201070.79329="",159924.66152=""),"-",(201070.79329-159924.66152)/1030698.33623*100)</f>
        <v>3.992063470336122</v>
      </c>
    </row>
    <row r="39" spans="1:7" s="16" customFormat="1" ht="15.75">
      <c r="A39" s="39" t="s">
        <v>15</v>
      </c>
      <c r="B39" s="55">
        <f>IF(109853.24888="","-",109853.24888)</f>
        <v>109853.24888</v>
      </c>
      <c r="C39" s="55">
        <f>IF(OR(81745.17809="",109853.24888=""),"-",109853.24888/81745.17809*100)</f>
        <v>134.3849893617621</v>
      </c>
      <c r="D39" s="55">
        <f>IF(81745.17809="","-",81745.17809/1030698.33623*100)</f>
        <v>7.931047835878004</v>
      </c>
      <c r="E39" s="55">
        <f>IF(109853.24888="","-",109853.24888/1326198.65303*100)</f>
        <v>8.283317784180785</v>
      </c>
      <c r="F39" s="55">
        <f>IF(OR(861112.79978="",70414.12574="",81745.17809=""),"-",(81745.17809-70414.12574)/861112.79978*100)</f>
        <v>1.3158615634205986</v>
      </c>
      <c r="G39" s="55">
        <f>IF(OR(1030698.33623="",109853.24888="",81745.17809=""),"-",(109853.24888-81745.17809)/1030698.33623*100)</f>
        <v>2.727089954642916</v>
      </c>
    </row>
    <row r="40" spans="1:7" s="16" customFormat="1" ht="15.75">
      <c r="A40" s="39" t="s">
        <v>14</v>
      </c>
      <c r="B40" s="55">
        <f>IF(19586.79333="","-",19586.79333)</f>
        <v>19586.79333</v>
      </c>
      <c r="C40" s="55">
        <f>IF(OR(28040.80669="",19586.79333=""),"-",19586.79333/28040.80669*100)</f>
        <v>69.85103369720494</v>
      </c>
      <c r="D40" s="55">
        <f>IF(28040.80669="","-",28040.80669/1030698.33623*100)</f>
        <v>2.7205638841491933</v>
      </c>
      <c r="E40" s="55">
        <f>IF(19586.79333="","-",19586.79333/1326198.65303*100)</f>
        <v>1.4769124735008254</v>
      </c>
      <c r="F40" s="55">
        <f>IF(OR(861112.79978="",18736.91781="",28040.80669=""),"-",(28040.80669-18736.91781)/861112.79978*100)</f>
        <v>1.0804494930718707</v>
      </c>
      <c r="G40" s="55">
        <f>IF(OR(1030698.33623="",19586.79333="",28040.80669=""),"-",(19586.79333-28040.80669)/1030698.33623*100)</f>
        <v>-0.8202218886781526</v>
      </c>
    </row>
    <row r="41" spans="1:7" s="16" customFormat="1" ht="15.75">
      <c r="A41" s="39" t="s">
        <v>18</v>
      </c>
      <c r="B41" s="55">
        <f>IF(1140.33392="","-",1140.33392)</f>
        <v>1140.33392</v>
      </c>
      <c r="C41" s="55">
        <f>IF(OR(927.46247="",1140.33392=""),"-",1140.33392/927.46247*100)</f>
        <v>122.95202845242892</v>
      </c>
      <c r="D41" s="55">
        <f>IF(927.46247="","-",927.46247/1030698.33623*100)</f>
        <v>0.08998389125109028</v>
      </c>
      <c r="E41" s="55">
        <f>IF(1140.33392="","-",1140.33392/1326198.65303*100)</f>
        <v>0.08598515142468664</v>
      </c>
      <c r="F41" s="55">
        <f>IF(OR(861112.79978="",879.31886="",927.46247=""),"-",(927.46247-879.31886)/861112.79978*100)</f>
        <v>0.005590859874838694</v>
      </c>
      <c r="G41" s="55">
        <f>IF(OR(1030698.33623="",1140.33392="",927.46247=""),"-",(1140.33392-927.46247)/1030698.33623*100)</f>
        <v>0.020653128322552932</v>
      </c>
    </row>
    <row r="42" spans="1:7" s="16" customFormat="1" ht="15.75">
      <c r="A42" s="39" t="s">
        <v>16</v>
      </c>
      <c r="B42" s="55">
        <f>IF(428.30971="","-",428.30971)</f>
        <v>428.30971</v>
      </c>
      <c r="C42" s="55">
        <f>IF(OR(500.84874="",428.30971=""),"-",428.30971/500.84874*100)</f>
        <v>85.51677897802038</v>
      </c>
      <c r="D42" s="55">
        <f>IF(500.84874="","-",500.84874/1030698.33623*100)</f>
        <v>0.04859314528749135</v>
      </c>
      <c r="E42" s="55">
        <f>IF(428.30971="","-",428.30971/1326198.65303*100)</f>
        <v>0.03229604471558087</v>
      </c>
      <c r="F42" s="55">
        <f>IF(OR(861112.79978="",1443.31597="",500.84874=""),"-",(500.84874-1443.31597)/861112.79978*100)</f>
        <v>-0.10944759272429637</v>
      </c>
      <c r="G42" s="55">
        <f>IF(OR(1030698.33623="",428.30971="",500.84874=""),"-",(428.30971-500.84874)/1030698.33623*100)</f>
        <v>-0.0070378526335190435</v>
      </c>
    </row>
    <row r="43" spans="1:7" s="16" customFormat="1" ht="15.75">
      <c r="A43" s="39" t="s">
        <v>21</v>
      </c>
      <c r="B43" s="55">
        <f>IF(301.28338="","-",301.28338)</f>
        <v>301.28338</v>
      </c>
      <c r="C43" s="55">
        <f>IF(OR(206.52632="",301.28338=""),"-",301.28338/206.52632*100)</f>
        <v>145.8813481981377</v>
      </c>
      <c r="D43" s="55">
        <f>IF(206.52632="","-",206.52632/1030698.33623*100)</f>
        <v>0.020037513668200363</v>
      </c>
      <c r="E43" s="55">
        <f>IF(301.28338="","-",301.28338/1326198.65303*100)</f>
        <v>0.022717816769882115</v>
      </c>
      <c r="F43" s="55">
        <f>IF(OR(861112.79978="",19.88276="",206.52632=""),"-",(206.52632-19.88276)/861112.79978*100)</f>
        <v>0.02167469349517094</v>
      </c>
      <c r="G43" s="55">
        <f>IF(OR(1030698.33623="",301.28338="",206.52632=""),"-",(301.28338-206.52632)/1030698.33623*100)</f>
        <v>0.009193481416356435</v>
      </c>
    </row>
    <row r="44" spans="1:7" s="16" customFormat="1" ht="15.75">
      <c r="A44" s="39" t="s">
        <v>17</v>
      </c>
      <c r="B44" s="55">
        <f>IF(149.26807="","-",149.26807)</f>
        <v>149.26807</v>
      </c>
      <c r="C44" s="55" t="s">
        <v>194</v>
      </c>
      <c r="D44" s="55">
        <f>IF(48.80301="","-",48.80301/1030698.33623*100)</f>
        <v>0.004734946034598975</v>
      </c>
      <c r="E44" s="55">
        <f>IF(149.26807="","-",149.26807/1326198.65303*100)</f>
        <v>0.011255332650124732</v>
      </c>
      <c r="F44" s="55">
        <f>IF(OR(861112.79978="",377.93582="",48.80301=""),"-",(48.80301-377.93582)/861112.79978*100)</f>
        <v>-0.038221799755396496</v>
      </c>
      <c r="G44" s="55">
        <f>IF(OR(1030698.33623="",149.26807="",48.80301=""),"-",(149.26807-48.80301)/1030698.33623*100)</f>
        <v>0.009747280699750858</v>
      </c>
    </row>
    <row r="45" spans="1:7" s="16" customFormat="1" ht="15.75">
      <c r="A45" s="39" t="s">
        <v>217</v>
      </c>
      <c r="B45" s="55">
        <f>IF(27.12266="","-",27.12266)</f>
        <v>27.12266</v>
      </c>
      <c r="C45" s="55" t="s">
        <v>276</v>
      </c>
      <c r="D45" s="55">
        <f>IF(0.66757="","-",0.66757/1030698.33623*100)</f>
        <v>6.476870841198603E-05</v>
      </c>
      <c r="E45" s="55">
        <f>IF(27.12266="","-",27.12266/1326198.65303*100)</f>
        <v>0.002045143081546054</v>
      </c>
      <c r="F45" s="55">
        <f>IF(OR(861112.79978="",65.23106="",0.66757=""),"-",(0.66757-65.23106)/861112.79978*100)</f>
        <v>-0.007497680909689752</v>
      </c>
      <c r="G45" s="55">
        <f>IF(OR(1030698.33623="",27.12266="",0.66757=""),"-",(27.12266-0.66757)/1030698.33623*100)</f>
        <v>0.0025667151163516143</v>
      </c>
    </row>
    <row r="46" spans="1:7" s="16" customFormat="1" ht="15.75">
      <c r="A46" s="39" t="s">
        <v>20</v>
      </c>
      <c r="B46" s="55">
        <f>IF(0.918="","-",0.918)</f>
        <v>0.918</v>
      </c>
      <c r="C46" s="55">
        <f>IF(OR(4.47522="",0.918=""),"-",0.918/4.47522*100)</f>
        <v>20.512958022175447</v>
      </c>
      <c r="D46" s="55">
        <f>IF(4.47522="","-",4.47522/1030698.33623*100)</f>
        <v>0.00043419299737778525</v>
      </c>
      <c r="E46" s="55">
        <f>IF(0.918="","-",0.918/1326198.65303*100)</f>
        <v>6.922039906333956E-05</v>
      </c>
      <c r="F46" s="55">
        <f>IF(OR(861112.79978="",0.63973="",4.47522=""),"-",(4.47522-0.63973)/861112.79978*100)</f>
        <v>0.00044541086846925325</v>
      </c>
      <c r="G46" s="55">
        <f>IF(OR(1030698.33623="",0.918="",4.47522=""),"-",(0.918-4.47522)/1030698.33623*100)</f>
        <v>-0.00034512717009045483</v>
      </c>
    </row>
    <row r="47" spans="1:7" s="16" customFormat="1" ht="15.75">
      <c r="A47" s="39" t="s">
        <v>22</v>
      </c>
      <c r="B47" s="55">
        <f>IF(0.01839="","-",0.01839)</f>
        <v>0.01839</v>
      </c>
      <c r="C47" s="55">
        <f>IF(OR(0.01599="",0.01839=""),"-",0.01839/0.01599*100)</f>
        <v>115.0093808630394</v>
      </c>
      <c r="D47" s="55">
        <f>IF(0.01599="","-",0.01599/1030698.33623*100)</f>
        <v>1.5513753576518666E-06</v>
      </c>
      <c r="E47" s="55">
        <f>IF(0.01839="","-",0.01839/1326198.65303*100)</f>
        <v>1.386670085811345E-06</v>
      </c>
      <c r="F47" s="55">
        <f>IF(OR(861112.79978="",0.08941="",0.01599=""),"-",(0.01599-0.08941)/861112.79978*100)</f>
        <v>-8.526176828257296E-06</v>
      </c>
      <c r="G47" s="55">
        <f>IF(OR(1030698.33623="",0.01839="",0.01599=""),"-",(0.01839-0.01599)/1030698.33623*100)</f>
        <v>2.3285183604530823E-07</v>
      </c>
    </row>
    <row r="48" spans="1:7" s="16" customFormat="1" ht="15.75">
      <c r="A48" s="15" t="s">
        <v>23</v>
      </c>
      <c r="B48" s="54">
        <f>IF(349769.57756="","-",349769.57756)</f>
        <v>349769.57756</v>
      </c>
      <c r="C48" s="54">
        <f>IF(268579.88868="","-",349769.57756/268579.88868*100)</f>
        <v>130.22925107275387</v>
      </c>
      <c r="D48" s="54">
        <f>IF(268579.88868="","-",268579.88868/1030698.33623*100)</f>
        <v>26.05805008499271</v>
      </c>
      <c r="E48" s="54">
        <f>IF(349769.57756="","-",349769.57756/1326198.65303*100)</f>
        <v>26.373845031502068</v>
      </c>
      <c r="F48" s="54">
        <f>IF(861112.79978="","-",(268579.88868-212120.6486)/861112.79978*100)</f>
        <v>6.556544054904815</v>
      </c>
      <c r="G48" s="54">
        <f>IF(1030698.33623="","-",(349769.57756-268579.88868)/1030698.33623*100)</f>
        <v>7.877153384856399</v>
      </c>
    </row>
    <row r="49" spans="1:7" s="16" customFormat="1" ht="15.75">
      <c r="A49" s="39" t="s">
        <v>135</v>
      </c>
      <c r="B49" s="55">
        <f>IF(147436.1941="","-",147436.1941)</f>
        <v>147436.1941</v>
      </c>
      <c r="C49" s="55">
        <f>IF(OR(105217.41857="",147436.1941=""),"-",147436.1941/105217.41857*100)</f>
        <v>140.12527213059528</v>
      </c>
      <c r="D49" s="55">
        <f>IF(105217.41857="","-",105217.41857/1030698.33623*100)</f>
        <v>10.208362124155089</v>
      </c>
      <c r="E49" s="55">
        <f>IF(147436.1941="","-",147436.1941/1326198.65303*100)</f>
        <v>11.117202823509793</v>
      </c>
      <c r="F49" s="55">
        <f>IF(OR(861112.79978="",79862.65833="",105217.41857=""),"-",(105217.41857-79862.65833)/861112.79978*100)</f>
        <v>2.944417995700181</v>
      </c>
      <c r="G49" s="55">
        <f>IF(OR(1030698.33623="",147436.1941="",105217.41857=""),"-",(147436.1941-105217.41857)/1030698.33623*100)</f>
        <v>4.096133082393847</v>
      </c>
    </row>
    <row r="50" spans="1:7" s="16" customFormat="1" ht="15.75">
      <c r="A50" s="39" t="s">
        <v>132</v>
      </c>
      <c r="B50" s="55">
        <f>IF(82347.92134="","-",82347.92134)</f>
        <v>82347.92134</v>
      </c>
      <c r="C50" s="55">
        <f>IF(OR(68960.28493="",82347.92134=""),"-",82347.92134/68960.28493*100)</f>
        <v>119.41354567138099</v>
      </c>
      <c r="D50" s="55">
        <f>IF(68960.28493="","-",68960.28493/1030698.33623*100)</f>
        <v>6.690637066732543</v>
      </c>
      <c r="E50" s="55">
        <f>IF(82347.92134="","-",82347.92134/1326198.65303*100)</f>
        <v>6.209320236591826</v>
      </c>
      <c r="F50" s="55">
        <f>IF(OR(861112.79978="",60388.16278="",68960.28493=""),"-",(68960.28493-60388.16278)/861112.79978*100)</f>
        <v>0.9954702975254845</v>
      </c>
      <c r="G50" s="55">
        <f>IF(OR(1030698.33623="",82347.92134="",68960.28493=""),"-",(82347.92134-68960.28493)/1030698.33623*100)</f>
        <v>1.2988898826564672</v>
      </c>
    </row>
    <row r="51" spans="1:7" s="16" customFormat="1" ht="15.75">
      <c r="A51" s="39" t="s">
        <v>24</v>
      </c>
      <c r="B51" s="55">
        <f>IF(19282.51916="","-",19282.51916)</f>
        <v>19282.51916</v>
      </c>
      <c r="C51" s="55">
        <f>IF(OR(23707.90847="",19282.51916=""),"-",19282.51916/23707.90847*100)</f>
        <v>81.33370003684682</v>
      </c>
      <c r="D51" s="55">
        <f>IF(23707.90847="","-",23707.90847/1030698.33623*100)</f>
        <v>2.3001791733473396</v>
      </c>
      <c r="E51" s="55">
        <f>IF(19282.51916="","-",19282.51916/1326198.65303*100)</f>
        <v>1.453969140742583</v>
      </c>
      <c r="F51" s="55">
        <f>IF(OR(861112.79978="",12069.5964="",23707.90847=""),"-",(23707.90847-12069.5964)/861112.79978*100)</f>
        <v>1.3515432673830179</v>
      </c>
      <c r="G51" s="55">
        <f>IF(OR(1030698.33623="",19282.51916="",23707.90847=""),"-",(19282.51916-23707.90847)/1030698.33623*100)</f>
        <v>-0.4293583441869915</v>
      </c>
    </row>
    <row r="52" spans="1:7" s="16" customFormat="1" ht="15.75">
      <c r="A52" s="39" t="s">
        <v>153</v>
      </c>
      <c r="B52" s="55">
        <f>IF(12086.97992="","-",12086.97992)</f>
        <v>12086.97992</v>
      </c>
      <c r="C52" s="55" t="s">
        <v>175</v>
      </c>
      <c r="D52" s="55">
        <f>IF(5882.61261="","-",5882.61261/1030698.33623*100)</f>
        <v>0.5707404779090762</v>
      </c>
      <c r="E52" s="55">
        <f>IF(12086.97992="","-",12086.97992/1326198.65303*100)</f>
        <v>0.9114004068986624</v>
      </c>
      <c r="F52" s="55">
        <f>IF(OR(861112.79978="",6360.51658="",5882.61261=""),"-",(5882.61261-6360.51658)/861112.79978*100)</f>
        <v>-0.05549841671405846</v>
      </c>
      <c r="G52" s="55">
        <f>IF(OR(1030698.33623="",12086.97992="",5882.61261=""),"-",(12086.97992-5882.61261)/1030698.33623*100)</f>
        <v>0.6019576331804126</v>
      </c>
    </row>
    <row r="53" spans="1:7" s="16" customFormat="1" ht="15.75">
      <c r="A53" s="39" t="s">
        <v>149</v>
      </c>
      <c r="B53" s="55">
        <f>IF(8946.2226="","-",8946.2226)</f>
        <v>8946.2226</v>
      </c>
      <c r="C53" s="55">
        <f>IF(OR(6319.50264="",8946.2226=""),"-",8946.2226/6319.50264*100)</f>
        <v>141.56529571447413</v>
      </c>
      <c r="D53" s="55">
        <f>IF(6319.50264="","-",6319.50264/1030698.33623*100)</f>
        <v>0.6131282469238221</v>
      </c>
      <c r="E53" s="55">
        <f>IF(8946.2226="","-",8946.2226/1326198.65303*100)</f>
        <v>0.6745763600015983</v>
      </c>
      <c r="F53" s="55">
        <f>IF(OR(861112.79978="",2397.16164="",6319.50264=""),"-",(6319.50264-2397.16164)/861112.79978*100)</f>
        <v>0.4554967712710916</v>
      </c>
      <c r="G53" s="55">
        <f>IF(OR(1030698.33623="",8946.2226="",6319.50264=""),"-",(8946.2226-6319.50264)/1030698.33623*100)</f>
        <v>0.2548485689428578</v>
      </c>
    </row>
    <row r="54" spans="1:7" s="16" customFormat="1" ht="15.75">
      <c r="A54" s="39" t="s">
        <v>146</v>
      </c>
      <c r="B54" s="55">
        <f>IF(7756.45393="","-",7756.45393)</f>
        <v>7756.45393</v>
      </c>
      <c r="C54" s="55">
        <f>IF(OR(7169.8759="",7756.45393=""),"-",7756.45393/7169.8759*100)</f>
        <v>108.18114620366023</v>
      </c>
      <c r="D54" s="55">
        <f>IF(7169.8759="","-",7169.8759/1030698.33623*100)</f>
        <v>0.695632819805003</v>
      </c>
      <c r="E54" s="55">
        <f>IF(7756.45393="","-",7756.45393/1326198.65303*100)</f>
        <v>0.5848636561557826</v>
      </c>
      <c r="F54" s="55">
        <f>IF(OR(861112.79978="",6502.04619="",7169.8759=""),"-",(7169.8759-6502.04619)/861112.79978*100)</f>
        <v>0.07755426584886665</v>
      </c>
      <c r="G54" s="55">
        <f>IF(OR(1030698.33623="",7756.45393="",7169.8759=""),"-",(7756.45393-7169.8759)/1030698.33623*100)</f>
        <v>0.05691073802889161</v>
      </c>
    </row>
    <row r="55" spans="1:7" s="16" customFormat="1" ht="15.75">
      <c r="A55" s="39" t="s">
        <v>110</v>
      </c>
      <c r="B55" s="55">
        <f>IF(6291.3504="","-",6291.3504)</f>
        <v>6291.3504</v>
      </c>
      <c r="C55" s="55">
        <f>IF(OR(5643.08669="",6291.3504=""),"-",6291.3504/5643.08669*100)</f>
        <v>111.48775033261096</v>
      </c>
      <c r="D55" s="55">
        <f>IF(5643.08669="","-",5643.08669/1030698.33623*100)</f>
        <v>0.5475012903038923</v>
      </c>
      <c r="E55" s="55">
        <f>IF(6291.3504="","-",6291.3504/1326198.65303*100)</f>
        <v>0.47438974437396625</v>
      </c>
      <c r="F55" s="55">
        <f>IF(OR(861112.79978="",3719.58018="",5643.08669=""),"-",(5643.08669-3719.58018)/861112.79978*100)</f>
        <v>0.223374511503188</v>
      </c>
      <c r="G55" s="55">
        <f>IF(OR(1030698.33623="",6291.3504="",5643.08669=""),"-",(6291.3504-5643.08669)/1030698.33623*100)</f>
        <v>0.06289558129793472</v>
      </c>
    </row>
    <row r="56" spans="1:7" s="16" customFormat="1" ht="15.75">
      <c r="A56" s="39" t="s">
        <v>258</v>
      </c>
      <c r="B56" s="55">
        <f>IF(6031.18422="","-",6031.18422)</f>
        <v>6031.18422</v>
      </c>
      <c r="C56" s="55">
        <f>IF(OR(6978.01991="",6031.18422=""),"-",6031.18422/6978.01991*100)</f>
        <v>86.43116955508945</v>
      </c>
      <c r="D56" s="55">
        <f>IF(6978.01991="","-",6978.01991/1030698.33623*100)</f>
        <v>0.677018645001757</v>
      </c>
      <c r="E56" s="55">
        <f>IF(6031.18422="","-",6031.18422/1326198.65303*100)</f>
        <v>0.45477230777006145</v>
      </c>
      <c r="F56" s="55">
        <f>IF(OR(861112.79978="",5006.70182="",6978.01991=""),"-",(6978.01991-5006.70182)/861112.79978*100)</f>
        <v>0.22892681313106006</v>
      </c>
      <c r="G56" s="55">
        <f>IF(OR(1030698.33623="",6031.18422="",6978.01991=""),"-",(6031.18422-6978.01991)/1030698.33623*100)</f>
        <v>-0.0918635120207193</v>
      </c>
    </row>
    <row r="57" spans="1:7" s="16" customFormat="1" ht="15.75">
      <c r="A57" s="39" t="s">
        <v>143</v>
      </c>
      <c r="B57" s="55">
        <f>IF(5032.08634="","-",5032.08634)</f>
        <v>5032.08634</v>
      </c>
      <c r="C57" s="55">
        <f>IF(OR(3329.91038="",5032.08634=""),"-",5032.08634/3329.91038*100)</f>
        <v>151.11777092331235</v>
      </c>
      <c r="D57" s="55">
        <f>IF(3329.91038="","-",3329.91038/1030698.33623*100)</f>
        <v>0.3230732274372209</v>
      </c>
      <c r="E57" s="55">
        <f>IF(5032.08634="","-",5032.08634/1326198.65303*100)</f>
        <v>0.37943684594333316</v>
      </c>
      <c r="F57" s="55">
        <f>IF(OR(861112.79978="",3113.45568="",3329.91038=""),"-",(3329.91038-3113.45568)/861112.79978*100)</f>
        <v>0.025136625544911233</v>
      </c>
      <c r="G57" s="55">
        <f>IF(OR(1030698.33623="",5032.08634="",3329.91038=""),"-",(5032.08634-3329.91038)/1030698.33623*100)</f>
        <v>0.16514783231591051</v>
      </c>
    </row>
    <row r="58" spans="1:7" s="16" customFormat="1" ht="15.75">
      <c r="A58" s="39" t="s">
        <v>158</v>
      </c>
      <c r="B58" s="55">
        <f>IF(4514.99966="","-",4514.99966)</f>
        <v>4514.99966</v>
      </c>
      <c r="C58" s="55">
        <f>IF(OR(3336.38002="",4514.99966=""),"-",4514.99966/3336.38002*100)</f>
        <v>135.32630074915747</v>
      </c>
      <c r="D58" s="55">
        <f>IF(3336.38002="","-",3336.38002/1030698.33623*100)</f>
        <v>0.32370092225078434</v>
      </c>
      <c r="E58" s="55">
        <f>IF(4514.99966="","-",4514.99966/1326198.65303*100)</f>
        <v>0.34044670831812907</v>
      </c>
      <c r="F58" s="55">
        <f>IF(OR(861112.79978="",2841.40636="",3336.38002=""),"-",(3336.38002-2841.40636)/861112.79978*100)</f>
        <v>0.05748069940737818</v>
      </c>
      <c r="G58" s="55">
        <f>IF(OR(1030698.33623="",4514.99966="",3336.38002=""),"-",(4514.99966-3336.38002)/1030698.33623*100)</f>
        <v>0.1143515613221085</v>
      </c>
    </row>
    <row r="59" spans="1:7" s="16" customFormat="1" ht="15.75">
      <c r="A59" s="39" t="s">
        <v>138</v>
      </c>
      <c r="B59" s="55">
        <f>IF(4134.47745="","-",4134.47745)</f>
        <v>4134.47745</v>
      </c>
      <c r="C59" s="55" t="s">
        <v>202</v>
      </c>
      <c r="D59" s="55">
        <f>IF(2128.76659="","-",2128.76659/1030698.33623*100)</f>
        <v>0.20653633708058752</v>
      </c>
      <c r="E59" s="55">
        <f>IF(4134.47745="","-",4134.47745/1326198.65303*100)</f>
        <v>0.31175400763330996</v>
      </c>
      <c r="F59" s="55">
        <f>IF(OR(861112.79978="",2373.38413="",2128.76659=""),"-",(2128.76659-2373.38413)/861112.79978*100)</f>
        <v>-0.028407142486152274</v>
      </c>
      <c r="G59" s="55">
        <f>IF(OR(1030698.33623="",4134.47745="",2128.76659=""),"-",(4134.47745-2128.76659)/1030698.33623*100)</f>
        <v>0.1945972734695893</v>
      </c>
    </row>
    <row r="60" spans="1:7" s="16" customFormat="1" ht="15.75">
      <c r="A60" s="39" t="s">
        <v>147</v>
      </c>
      <c r="B60" s="55">
        <f>IF(4069.7213="","-",4069.7213)</f>
        <v>4069.7213</v>
      </c>
      <c r="C60" s="55">
        <f>IF(OR(3405.33975="",4069.7213=""),"-",4069.7213/3405.33975*100)</f>
        <v>119.50999309246603</v>
      </c>
      <c r="D60" s="55">
        <f>IF(3405.33975="","-",3405.33975/1030698.33623*100)</f>
        <v>0.3303915054773213</v>
      </c>
      <c r="E60" s="55">
        <f>IF(4069.7213="","-",4069.7213/1326198.65303*100)</f>
        <v>0.30687116825988353</v>
      </c>
      <c r="F60" s="55">
        <f>IF(OR(861112.79978="",2292.72949="",3405.33975=""),"-",(3405.33975-2292.72949)/861112.79978*100)</f>
        <v>0.12920609939653124</v>
      </c>
      <c r="G60" s="55">
        <f>IF(OR(1030698.33623="",4069.7213="",3405.33975=""),"-",(4069.7213-3405.33975)/1030698.33623*100)</f>
        <v>0.06445935989671993</v>
      </c>
    </row>
    <row r="61" spans="1:7" s="16" customFormat="1" ht="15.75">
      <c r="A61" s="39" t="s">
        <v>148</v>
      </c>
      <c r="B61" s="55">
        <f>IF(2795.33212="","-",2795.33212)</f>
        <v>2795.33212</v>
      </c>
      <c r="C61" s="55">
        <f>IF(OR(1975.09137="",2795.33212=""),"-",2795.33212/1975.09137*100)</f>
        <v>141.52925593513174</v>
      </c>
      <c r="D61" s="55">
        <f>IF(1975.09137="","-",1975.09137/1030698.33623*100)</f>
        <v>0.19162652160905974</v>
      </c>
      <c r="E61" s="55">
        <f>IF(2795.33212="","-",2795.33212/1326198.65303*100)</f>
        <v>0.21077778307295314</v>
      </c>
      <c r="F61" s="55">
        <f>IF(OR(861112.79978="",1450.1394="",1975.09137=""),"-",(1975.09137-1450.1394)/861112.79978*100)</f>
        <v>0.06096204470937101</v>
      </c>
      <c r="G61" s="55">
        <f>IF(OR(1030698.33623="",2795.33212="",1975.09137=""),"-",(2795.33212-1975.09137)/1030698.33623*100)</f>
        <v>0.07958106859861695</v>
      </c>
    </row>
    <row r="62" spans="1:7" s="16" customFormat="1" ht="15.75">
      <c r="A62" s="39" t="s">
        <v>162</v>
      </c>
      <c r="B62" s="55">
        <f>IF(2761.20713="","-",2761.20713)</f>
        <v>2761.20713</v>
      </c>
      <c r="C62" s="55" t="s">
        <v>175</v>
      </c>
      <c r="D62" s="55">
        <f>IF(1295.91908="","-",1295.91908/1030698.33623*100)</f>
        <v>0.12573214047672782</v>
      </c>
      <c r="E62" s="55">
        <f>IF(2761.20713="","-",2761.20713/1326198.65303*100)</f>
        <v>0.2082046399075583</v>
      </c>
      <c r="F62" s="55">
        <f>IF(OR(861112.79978="",1050.5244="",1295.91908=""),"-",(1295.91908-1050.5244)/861112.79978*100)</f>
        <v>0.028497390825301186</v>
      </c>
      <c r="G62" s="55">
        <f>IF(OR(1030698.33623="",2761.20713="",1295.91908=""),"-",(2761.20713-1295.91908)/1030698.33623*100)</f>
        <v>0.14216458865739562</v>
      </c>
    </row>
    <row r="63" spans="1:7" s="16" customFormat="1" ht="15.75">
      <c r="A63" s="39" t="s">
        <v>159</v>
      </c>
      <c r="B63" s="55">
        <f>IF(2478.59312="","-",2478.59312)</f>
        <v>2478.59312</v>
      </c>
      <c r="C63" s="55">
        <f>IF(OR(1723.64333="",2478.59312=""),"-",2478.59312/1723.64333*100)</f>
        <v>143.7996525650118</v>
      </c>
      <c r="D63" s="55">
        <f>IF(1723.64333="","-",1723.64333/1030698.33623*100)</f>
        <v>0.16723063086572884</v>
      </c>
      <c r="E63" s="55">
        <f>IF(2478.59312="","-",2478.59312/1326198.65303*100)</f>
        <v>0.18689455869504126</v>
      </c>
      <c r="F63" s="55">
        <f>IF(OR(861112.79978="",1461.9101="",1723.64333=""),"-",(1723.64333-1461.9101)/861112.79978*100)</f>
        <v>0.03039476710448022</v>
      </c>
      <c r="G63" s="55">
        <f>IF(OR(1030698.33623="",2478.59312="",1723.64333=""),"-",(2478.59312-1723.64333)/1030698.33623*100)</f>
        <v>0.07324643530146663</v>
      </c>
    </row>
    <row r="64" spans="1:7" s="16" customFormat="1" ht="15.75">
      <c r="A64" s="39" t="s">
        <v>155</v>
      </c>
      <c r="B64" s="55">
        <f>IF(2437.34114="","-",2437.34114)</f>
        <v>2437.34114</v>
      </c>
      <c r="C64" s="55">
        <f>IF(OR(1617.53288="",2437.34114=""),"-",2437.34114/1617.53288*100)</f>
        <v>150.6826334188644</v>
      </c>
      <c r="D64" s="55">
        <f>IF(1617.53288="","-",1617.53288/1030698.33623*100)</f>
        <v>0.1569356254048564</v>
      </c>
      <c r="E64" s="55">
        <f>IF(2437.34114="","-",2437.34114/1326198.65303*100)</f>
        <v>0.18378401564738017</v>
      </c>
      <c r="F64" s="55">
        <f>IF(OR(861112.79978="",1416.89675="",1617.53288=""),"-",(1617.53288-1416.89675)/861112.79978*100)</f>
        <v>0.023299633921509362</v>
      </c>
      <c r="G64" s="55">
        <f>IF(OR(1030698.33623="",2437.34114="",1617.53288=""),"-",(2437.34114-1617.53288)/1030698.33623*100)</f>
        <v>0.0795391077275456</v>
      </c>
    </row>
    <row r="65" spans="1:7" s="16" customFormat="1" ht="15.75">
      <c r="A65" s="39" t="s">
        <v>161</v>
      </c>
      <c r="B65" s="55">
        <f>IF(2368.02464="","-",2368.02464)</f>
        <v>2368.02464</v>
      </c>
      <c r="C65" s="55" t="s">
        <v>199</v>
      </c>
      <c r="D65" s="55">
        <f>IF(1323.26138="","-",1323.26138/1030698.33623*100)</f>
        <v>0.12838493412535348</v>
      </c>
      <c r="E65" s="55">
        <f>IF(2368.02464="","-",2368.02464/1326198.65303*100)</f>
        <v>0.1785573099919619</v>
      </c>
      <c r="F65" s="55">
        <f>IF(OR(861112.79978="",1268.27196="",1323.26138=""),"-",(1323.26138-1268.27196)/861112.79978*100)</f>
        <v>0.006385855606146926</v>
      </c>
      <c r="G65" s="55">
        <f>IF(OR(1030698.33623="",2368.02464="",1323.26138=""),"-",(2368.02464-1323.26138)/1030698.33623*100)</f>
        <v>0.10136460138486744</v>
      </c>
    </row>
    <row r="66" spans="1:7" s="16" customFormat="1" ht="15.75">
      <c r="A66" s="39" t="s">
        <v>137</v>
      </c>
      <c r="B66" s="55">
        <f>IF(2126.79835="","-",2126.79835)</f>
        <v>2126.79835</v>
      </c>
      <c r="C66" s="55">
        <f>IF(OR(1868.56301="",2126.79835=""),"-",2126.79835/1868.56301*100)</f>
        <v>113.81999636180318</v>
      </c>
      <c r="D66" s="55">
        <f>IF(1868.56301="","-",1868.56301/1030698.33623*100)</f>
        <v>0.1812909698520199</v>
      </c>
      <c r="E66" s="55">
        <f>IF(2126.79835="","-",2126.79835/1326198.65303*100)</f>
        <v>0.16036800709613522</v>
      </c>
      <c r="F66" s="55">
        <f>IF(OR(861112.79978="",1066.86153="",1868.56301=""),"-",(1868.56301-1066.86153)/861112.79978*100)</f>
        <v>0.09310063445867041</v>
      </c>
      <c r="G66" s="55">
        <f>IF(OR(1030698.33623="",2126.79835="",1868.56301=""),"-",(2126.79835-1868.56301)/1030698.33623*100)</f>
        <v>0.025054405437826843</v>
      </c>
    </row>
    <row r="67" spans="1:7" s="16" customFormat="1" ht="15.75">
      <c r="A67" s="39" t="s">
        <v>139</v>
      </c>
      <c r="B67" s="55">
        <f>IF(2013.23104="","-",2013.23104)</f>
        <v>2013.23104</v>
      </c>
      <c r="C67" s="55">
        <f>IF(OR(1569.7378="",2013.23104=""),"-",2013.23104/1569.7378*100)</f>
        <v>128.25269545015735</v>
      </c>
      <c r="D67" s="55">
        <f>IF(1569.7378="","-",1569.7378/1030698.33623*100)</f>
        <v>0.15229847034988456</v>
      </c>
      <c r="E67" s="55">
        <f>IF(2013.23104="","-",2013.23104/1326198.65303*100)</f>
        <v>0.1518046361606777</v>
      </c>
      <c r="F67" s="55">
        <f>IF(OR(861112.79978="",654.43306="",1569.7378=""),"-",(1569.7378-654.43306)/861112.79978*100)</f>
        <v>0.10629324523266236</v>
      </c>
      <c r="G67" s="55">
        <f>IF(OR(1030698.33623="",2013.23104="",1569.7378=""),"-",(2013.23104-1569.7378)/1030698.33623*100)</f>
        <v>0.04302842300320105</v>
      </c>
    </row>
    <row r="68" spans="1:7" s="16" customFormat="1" ht="15.75">
      <c r="A68" s="39" t="s">
        <v>114</v>
      </c>
      <c r="B68" s="55">
        <f>IF(1562.69466="","-",1562.69466)</f>
        <v>1562.69466</v>
      </c>
      <c r="C68" s="55" t="s">
        <v>228</v>
      </c>
      <c r="D68" s="55">
        <f>IF(230.43411="","-",230.43411/1030698.33623*100)</f>
        <v>0.02235708566706939</v>
      </c>
      <c r="E68" s="55">
        <f>IF(1562.69466="","-",1562.69466/1326198.65303*100)</f>
        <v>0.1178326230711871</v>
      </c>
      <c r="F68" s="55">
        <f>IF(OR(861112.79978="",1058.37531="",230.43411=""),"-",(230.43411-1058.37531)/861112.79978*100)</f>
        <v>-0.09614782177335246</v>
      </c>
      <c r="G68" s="55">
        <f>IF(OR(1030698.33623="",1562.69466="",230.43411=""),"-",(1562.69466-230.43411)/1030698.33623*100)</f>
        <v>0.12925804798259677</v>
      </c>
    </row>
    <row r="69" spans="1:7" s="16" customFormat="1" ht="15.75">
      <c r="A69" s="39" t="s">
        <v>163</v>
      </c>
      <c r="B69" s="55">
        <f>IF(1531.48033="","-",1531.48033)</f>
        <v>1531.48033</v>
      </c>
      <c r="C69" s="55" t="s">
        <v>179</v>
      </c>
      <c r="D69" s="55">
        <f>IF(622.24538="","-",622.24538/1030698.33623*100)</f>
        <v>0.060371241334879394</v>
      </c>
      <c r="E69" s="55">
        <f>IF(1531.48033="","-",1531.48033/1326198.65303*100)</f>
        <v>0.11547895381291391</v>
      </c>
      <c r="F69" s="55">
        <f>IF(OR(861112.79978="",697.83758="",622.24538=""),"-",(622.24538-697.83758)/861112.79978*100)</f>
        <v>-0.008778431817447446</v>
      </c>
      <c r="G69" s="55">
        <f>IF(OR(1030698.33623="",1531.48033="",622.24538=""),"-",(1531.48033-622.24538)/1030698.33623*100)</f>
        <v>0.08821542812669338</v>
      </c>
    </row>
    <row r="70" spans="1:7" s="16" customFormat="1" ht="15.75">
      <c r="A70" s="39" t="s">
        <v>151</v>
      </c>
      <c r="B70" s="55">
        <f>IF(1367.41307="","-",1367.41307)</f>
        <v>1367.41307</v>
      </c>
      <c r="C70" s="55" t="s">
        <v>212</v>
      </c>
      <c r="D70" s="55">
        <f>IF(585.22152="","-",585.22152/1030698.33623*100)</f>
        <v>0.05677912726051088</v>
      </c>
      <c r="E70" s="55">
        <f>IF(1367.41307="","-",1367.41307/1326198.65303*100)</f>
        <v>0.10310771066429879</v>
      </c>
      <c r="F70" s="55">
        <f>IF(OR(861112.79978="",773.42159="",585.22152=""),"-",(585.22152-773.42159)/861112.79978*100)</f>
        <v>-0.021855449140702816</v>
      </c>
      <c r="G70" s="55">
        <f>IF(OR(1030698.33623="",1367.41307="",585.22152=""),"-",(1367.41307-585.22152)/1030698.33623*100)</f>
        <v>0.07588947439859399</v>
      </c>
    </row>
    <row r="71" spans="1:7" s="16" customFormat="1" ht="15.75">
      <c r="A71" s="39" t="s">
        <v>145</v>
      </c>
      <c r="B71" s="55">
        <f>IF(1338.64608="","-",1338.64608)</f>
        <v>1338.64608</v>
      </c>
      <c r="C71" s="55" t="s">
        <v>179</v>
      </c>
      <c r="D71" s="55">
        <f>IF(540.84998="","-",540.84998/1030698.33623*100)</f>
        <v>0.05247412952836178</v>
      </c>
      <c r="E71" s="55">
        <f>IF(1338.64608="","-",1338.64608/1326198.65303*100)</f>
        <v>0.1009385793705612</v>
      </c>
      <c r="F71" s="55">
        <f>IF(OR(861112.79978="",700.51059="",540.84998=""),"-",(540.84998-700.51059)/861112.79978*100)</f>
        <v>-0.018541195769101404</v>
      </c>
      <c r="G71" s="55">
        <f>IF(OR(1030698.33623="",1338.64608="",540.84998=""),"-",(1338.64608-540.84998)/1030698.33623*100)</f>
        <v>0.077403452781161</v>
      </c>
    </row>
    <row r="72" spans="1:7" s="16" customFormat="1" ht="15.75">
      <c r="A72" s="39" t="s">
        <v>142</v>
      </c>
      <c r="B72" s="55">
        <f>IF(1250.62519="","-",1250.62519)</f>
        <v>1250.62519</v>
      </c>
      <c r="C72" s="55">
        <f>IF(OR(1278.58076="",1250.62519=""),"-",1250.62519/1278.58076*100)</f>
        <v>97.81354679543277</v>
      </c>
      <c r="D72" s="55">
        <f>IF(1278.58076="","-",1278.58076/1030698.33623*100)</f>
        <v>0.1240499489575857</v>
      </c>
      <c r="E72" s="55">
        <f>IF(1250.62519="","-",1250.62519/1326198.65303*100)</f>
        <v>0.0943014975277395</v>
      </c>
      <c r="F72" s="55">
        <f>IF(OR(861112.79978="",962.56892="",1278.58076=""),"-",(1278.58076-962.56892)/861112.79978*100)</f>
        <v>0.03669807719508243</v>
      </c>
      <c r="G72" s="55">
        <f>IF(OR(1030698.33623="",1250.62519="",1278.58076=""),"-",(1250.62519-1278.58076)/1030698.33623*100)</f>
        <v>-0.002712294084247149</v>
      </c>
    </row>
    <row r="73" spans="1:7" s="16" customFormat="1" ht="15.75">
      <c r="A73" s="39" t="s">
        <v>152</v>
      </c>
      <c r="B73" s="55">
        <f>IF(1070.37712="","-",1070.37712)</f>
        <v>1070.37712</v>
      </c>
      <c r="C73" s="55" t="s">
        <v>115</v>
      </c>
      <c r="D73" s="55">
        <f>IF(450.9233="","-",450.9233/1030698.33623*100)</f>
        <v>0.043749299300253904</v>
      </c>
      <c r="E73" s="55">
        <f>IF(1070.37712="","-",1070.37712/1326198.65303*100)</f>
        <v>0.08071016491793911</v>
      </c>
      <c r="F73" s="55">
        <f>IF(OR(861112.79978="",323.80259="",450.9233=""),"-",(450.9233-323.80259)/861112.79978*100)</f>
        <v>0.014762376082724262</v>
      </c>
      <c r="G73" s="55">
        <f>IF(OR(1030698.33623="",1070.37712="",450.9233=""),"-",(1070.37712-450.9233)/1030698.33623*100)</f>
        <v>0.06010039972178332</v>
      </c>
    </row>
    <row r="74" spans="1:7" s="16" customFormat="1" ht="15.75">
      <c r="A74" s="39" t="s">
        <v>164</v>
      </c>
      <c r="B74" s="55">
        <f>IF(1002.54484="","-",1002.54484)</f>
        <v>1002.54484</v>
      </c>
      <c r="C74" s="55">
        <f>IF(OR(837.10908="",1002.54484=""),"-",1002.54484/837.10908*100)</f>
        <v>119.76274824303663</v>
      </c>
      <c r="D74" s="55">
        <f>IF(837.10908="","-",837.10908/1030698.33623*100)</f>
        <v>0.08121766093674952</v>
      </c>
      <c r="E74" s="55">
        <f>IF(1002.54484="","-",1002.54484/1326198.65303*100)</f>
        <v>0.07559537462275807</v>
      </c>
      <c r="F74" s="55">
        <f>IF(OR(861112.79978="",625.15516="",837.10908=""),"-",(837.10908-625.15516)/861112.79978*100)</f>
        <v>0.02461395534407927</v>
      </c>
      <c r="G74" s="55">
        <f>IF(OR(1030698.33623="",1002.54484="",837.10908=""),"-",(1002.54484-837.10908)/1030698.33623*100)</f>
        <v>0.01605084185981291</v>
      </c>
    </row>
    <row r="75" spans="1:7" s="16" customFormat="1" ht="15.75">
      <c r="A75" s="39" t="s">
        <v>134</v>
      </c>
      <c r="B75" s="55">
        <f>IF(941.75071="","-",941.75071)</f>
        <v>941.75071</v>
      </c>
      <c r="C75" s="55" t="s">
        <v>201</v>
      </c>
      <c r="D75" s="55">
        <f>IF(602.10141="","-",602.10141/1030698.33623*100)</f>
        <v>0.058416841168320396</v>
      </c>
      <c r="E75" s="55">
        <f>IF(941.75071="","-",941.75071/1326198.65303*100)</f>
        <v>0.07101128536425204</v>
      </c>
      <c r="F75" s="55">
        <f>IF(OR(861112.79978="",181.57402="",602.10141=""),"-",(602.10141-181.57402)/861112.79978*100)</f>
        <v>0.04883534307090055</v>
      </c>
      <c r="G75" s="55">
        <f>IF(OR(1030698.33623="",941.75071="",602.10141=""),"-",(941.75071-602.10141)/1030698.33623*100)</f>
        <v>0.032953317965209894</v>
      </c>
    </row>
    <row r="76" spans="1:7" s="16" customFormat="1" ht="15.75">
      <c r="A76" s="39" t="s">
        <v>141</v>
      </c>
      <c r="B76" s="55">
        <f>IF(928.8873="","-",928.8873)</f>
        <v>928.8873</v>
      </c>
      <c r="C76" s="55">
        <f>IF(OR(2205.02044="",928.8873=""),"-",928.8873/2205.02044*100)</f>
        <v>42.12601766176826</v>
      </c>
      <c r="D76" s="55">
        <f>IF(2205.02044="","-",2205.02044/1030698.33623*100)</f>
        <v>0.21393460748809728</v>
      </c>
      <c r="E76" s="55">
        <f>IF(928.8873="","-",928.8873/1326198.65303*100)</f>
        <v>0.07004133942360351</v>
      </c>
      <c r="F76" s="55">
        <f>IF(OR(861112.79978="",685.3675="",2205.02044=""),"-",(2205.02044-685.3675)/861112.79978*100)</f>
        <v>0.17647547921575965</v>
      </c>
      <c r="G76" s="55">
        <f>IF(OR(1030698.33623="",928.8873="",2205.02044=""),"-",(928.8873-2205.02044)/1030698.33623*100)</f>
        <v>-0.12381247695302684</v>
      </c>
    </row>
    <row r="77" spans="1:7" s="16" customFormat="1" ht="15.75">
      <c r="A77" s="39" t="s">
        <v>166</v>
      </c>
      <c r="B77" s="55">
        <f>IF(794.02474="","-",794.02474)</f>
        <v>794.02474</v>
      </c>
      <c r="C77" s="55">
        <f>IF(OR(675.75634="",794.02474=""),"-",794.02474/675.75634*100)</f>
        <v>117.50163379895184</v>
      </c>
      <c r="D77" s="55">
        <f>IF(675.75634="","-",675.75634/1030698.33623*100)</f>
        <v>0.06556296020344067</v>
      </c>
      <c r="E77" s="55">
        <f>IF(794.02474="","-",794.02474/1326198.65303*100)</f>
        <v>0.059872232428065844</v>
      </c>
      <c r="F77" s="55">
        <f>IF(OR(861112.79978="",359.49332="",675.75634=""),"-",(675.75634-359.49332)/861112.79978*100)</f>
        <v>0.03672724642820313</v>
      </c>
      <c r="G77" s="55">
        <f>IF(OR(1030698.33623="",794.02474="",675.75634=""),"-",(794.02474-675.75634)/1030698.33623*100)</f>
        <v>0.011474589202558717</v>
      </c>
    </row>
    <row r="78" spans="1:7" s="16" customFormat="1" ht="15.75">
      <c r="A78" s="39" t="s">
        <v>160</v>
      </c>
      <c r="B78" s="55">
        <f>IF(749.86904="","-",749.86904)</f>
        <v>749.86904</v>
      </c>
      <c r="C78" s="55">
        <f>IF(OR(704.5643="",749.86904=""),"-",749.86904/704.5643*100)</f>
        <v>106.43017819665288</v>
      </c>
      <c r="D78" s="55">
        <f>IF(704.5643="","-",704.5643/1030698.33623*100)</f>
        <v>0.06835795452790726</v>
      </c>
      <c r="E78" s="55">
        <f>IF(749.86904="","-",749.86904/1326198.65303*100)</f>
        <v>0.05654273877346769</v>
      </c>
      <c r="F78" s="55">
        <f>IF(OR(861112.79978="",1521.38668="",704.5643=""),"-",(704.5643-1521.38668)/861112.79978*100)</f>
        <v>-0.09485660649901902</v>
      </c>
      <c r="G78" s="55">
        <f>IF(OR(1030698.33623="",749.86904="",704.5643=""),"-",(749.86904-704.5643)/1030698.33623*100)</f>
        <v>0.004395538287731387</v>
      </c>
    </row>
    <row r="79" spans="1:7" s="16" customFormat="1" ht="15.75">
      <c r="A79" s="39" t="s">
        <v>113</v>
      </c>
      <c r="B79" s="55">
        <f>IF(648.70451="","-",648.70451)</f>
        <v>648.70451</v>
      </c>
      <c r="C79" s="55" t="s">
        <v>211</v>
      </c>
      <c r="D79" s="55">
        <f>IF(227.40013="","-",227.40013/1030698.33623*100)</f>
        <v>0.022062724078100743</v>
      </c>
      <c r="E79" s="55">
        <f>IF(648.70451="","-",648.70451/1326198.65303*100)</f>
        <v>0.048914580671446786</v>
      </c>
      <c r="F79" s="55">
        <f>IF(OR(861112.79978="",812.05145="",227.40013=""),"-",(227.40013-812.05145)/861112.79978*100)</f>
        <v>-0.06789485885581642</v>
      </c>
      <c r="G79" s="55">
        <f>IF(OR(1030698.33623="",648.70451="",227.40013=""),"-",(648.70451-227.40013)/1030698.33623*100)</f>
        <v>0.04087562434038761</v>
      </c>
    </row>
    <row r="80" spans="1:7" s="16" customFormat="1" ht="15.75">
      <c r="A80" s="39" t="s">
        <v>167</v>
      </c>
      <c r="B80" s="55">
        <f>IF(611.70125="","-",611.70125)</f>
        <v>611.70125</v>
      </c>
      <c r="C80" s="55" t="s">
        <v>211</v>
      </c>
      <c r="D80" s="55">
        <f>IF(208.84673="","-",208.84673/1030698.33623*100)</f>
        <v>0.020262643555232822</v>
      </c>
      <c r="E80" s="55">
        <f>IF(611.70125="","-",611.70125/1326198.65303*100)</f>
        <v>0.04612440591780353</v>
      </c>
      <c r="F80" s="55">
        <f>IF(OR(861112.79978="",369.73413="",208.84673=""),"-",(208.84673-369.73413)/861112.79978*100)</f>
        <v>-0.018683661425205157</v>
      </c>
      <c r="G80" s="55">
        <f>IF(OR(1030698.33623="",611.70125="",208.84673=""),"-",(611.70125-208.84673)/1030698.33623*100)</f>
        <v>0.039085589433813066</v>
      </c>
    </row>
    <row r="81" spans="1:7" s="16" customFormat="1" ht="15.75">
      <c r="A81" s="39" t="s">
        <v>150</v>
      </c>
      <c r="B81" s="55">
        <f>IF(551.18428="","-",551.18428)</f>
        <v>551.18428</v>
      </c>
      <c r="C81" s="55">
        <f>IF(OR(573.21921="",551.18428=""),"-",551.18428/573.21921*100)</f>
        <v>96.15593308535489</v>
      </c>
      <c r="D81" s="55">
        <f>IF(573.21921="","-",573.21921/1030698.33623*100)</f>
        <v>0.05561464396039214</v>
      </c>
      <c r="E81" s="55">
        <f>IF(551.18428="","-",551.18428/1326198.65303*100)</f>
        <v>0.04156121548914977</v>
      </c>
      <c r="F81" s="55">
        <f>IF(OR(861112.79978="",635.21592="",573.21921=""),"-",(573.21921-635.21592)/861112.79978*100)</f>
        <v>-0.007199603816809961</v>
      </c>
      <c r="G81" s="55">
        <f>IF(OR(1030698.33623="",551.18428="",573.21921=""),"-",(551.18428-573.21921)/1030698.33623*100)</f>
        <v>-0.002137864128179105</v>
      </c>
    </row>
    <row r="82" spans="1:7" s="16" customFormat="1" ht="15.75">
      <c r="A82" s="39" t="s">
        <v>144</v>
      </c>
      <c r="B82" s="55">
        <f>IF(493.2872="","-",493.2872)</f>
        <v>493.2872</v>
      </c>
      <c r="C82" s="55" t="s">
        <v>199</v>
      </c>
      <c r="D82" s="55">
        <f>IF(267.19953="","-",267.19953/1030698.33623*100)</f>
        <v>0.02592412547955976</v>
      </c>
      <c r="E82" s="55">
        <f>IF(493.2872="","-",493.2872/1326198.65303*100)</f>
        <v>0.03719557389633703</v>
      </c>
      <c r="F82" s="55">
        <f>IF(OR(861112.79978="",448.25499="",267.19953=""),"-",(267.19953-448.25499)/861112.79978*100)</f>
        <v>-0.02102575412260237</v>
      </c>
      <c r="G82" s="55">
        <f>IF(OR(1030698.33623="",493.2872="",267.19953=""),"-",(493.2872-267.19953)/1030698.33623*100)</f>
        <v>0.021935387111127403</v>
      </c>
    </row>
    <row r="83" spans="1:7" s="16" customFormat="1" ht="15.75">
      <c r="A83" s="39" t="s">
        <v>172</v>
      </c>
      <c r="B83" s="55">
        <f>IF(479.13928="","-",479.13928)</f>
        <v>479.13928</v>
      </c>
      <c r="C83" s="55">
        <f>IF(OR(326.62599="",479.13928=""),"-",479.13928/326.62599*100)</f>
        <v>146.6935561374035</v>
      </c>
      <c r="D83" s="55">
        <f>IF(326.62599="","-",326.62599/1030698.33623*100)</f>
        <v>0.03168977561317354</v>
      </c>
      <c r="E83" s="55">
        <f>IF(479.13928="","-",479.13928/1326198.65303*100)</f>
        <v>0.03612877142540435</v>
      </c>
      <c r="F83" s="55">
        <f>IF(OR(861112.79978="",238.86413="",326.62599=""),"-",(326.62599-238.86413)/861112.79978*100)</f>
        <v>0.010191679884728425</v>
      </c>
      <c r="G83" s="55">
        <f>IF(OR(1030698.33623="",479.13928="",326.62599=""),"-",(479.13928-326.62599)/1030698.33623*100)</f>
        <v>0.014797083165754397</v>
      </c>
    </row>
    <row r="84" spans="1:7" s="16" customFormat="1" ht="15.75">
      <c r="A84" s="39" t="s">
        <v>171</v>
      </c>
      <c r="B84" s="55">
        <f>IF(469.27293="","-",469.27293)</f>
        <v>469.27293</v>
      </c>
      <c r="C84" s="55">
        <f>IF(OR(389.71043="",469.27293=""),"-",469.27293/389.71043*100)</f>
        <v>120.41579949502506</v>
      </c>
      <c r="D84" s="55">
        <f>IF(389.71043="","-",389.71043/1030698.33623*100)</f>
        <v>0.03781032881312774</v>
      </c>
      <c r="E84" s="55">
        <f>IF(469.27293="","-",469.27293/1326198.65303*100)</f>
        <v>0.03538481425296581</v>
      </c>
      <c r="F84" s="55">
        <f>IF(OR(861112.79978="",186.26117="",389.71043=""),"-",(389.71043-186.26117)/861112.79978*100)</f>
        <v>0.023626319345384006</v>
      </c>
      <c r="G84" s="55">
        <f>IF(OR(1030698.33623="",469.27293="",389.71043=""),"-",(469.27293-389.71043)/1030698.33623*100)</f>
        <v>0.00771928091889785</v>
      </c>
    </row>
    <row r="85" spans="1:7" s="16" customFormat="1" ht="15.75">
      <c r="A85" s="39" t="s">
        <v>271</v>
      </c>
      <c r="B85" s="55">
        <f>IF(458.75719="","-",458.75719)</f>
        <v>458.75719</v>
      </c>
      <c r="C85" s="55" t="s">
        <v>200</v>
      </c>
      <c r="D85" s="55">
        <f>IF(277.38659="","-",277.38659/1030698.33623*100)</f>
        <v>0.026912490323269644</v>
      </c>
      <c r="E85" s="55">
        <f>IF(458.75719="","-",458.75719/1326198.65303*100)</f>
        <v>0.03459189081152101</v>
      </c>
      <c r="F85" s="55">
        <f>IF(OR(861112.79978="",269.97211="",277.38659=""),"-",(277.38659-269.97211)/861112.79978*100)</f>
        <v>0.0008610346985777359</v>
      </c>
      <c r="G85" s="55">
        <f>IF(OR(1030698.33623="",458.75719="",277.38659=""),"-",(458.75719-277.38659)/1030698.33623*100)</f>
        <v>0.017596865506099662</v>
      </c>
    </row>
    <row r="86" spans="1:7" s="16" customFormat="1" ht="15.75">
      <c r="A86" s="39" t="s">
        <v>190</v>
      </c>
      <c r="B86" s="55">
        <f>IF(453.49691="","-",453.49691)</f>
        <v>453.49691</v>
      </c>
      <c r="C86" s="55" t="str">
        <f>IF(OR(""="",453.49691=""),"-",453.49691/""*100)</f>
        <v>-</v>
      </c>
      <c r="D86" s="55" t="str">
        <f>IF(""="","-",""/1030698.33623*100)</f>
        <v>-</v>
      </c>
      <c r="E86" s="55">
        <f>IF(453.49691="","-",453.49691/1326198.65303*100)</f>
        <v>0.034195247368400204</v>
      </c>
      <c r="F86" s="55" t="str">
        <f>IF(OR(861112.79978="",""="",""=""),"-",(""-"")/861112.79978*100)</f>
        <v>-</v>
      </c>
      <c r="G86" s="55" t="str">
        <f>IF(OR(1030698.33623="",453.49691="",""=""),"-",(453.49691-"")/1030698.33623*100)</f>
        <v>-</v>
      </c>
    </row>
    <row r="87" spans="1:7" s="16" customFormat="1" ht="15.75">
      <c r="A87" s="39" t="s">
        <v>165</v>
      </c>
      <c r="B87" s="55">
        <f>IF(444.83646="","-",444.83646)</f>
        <v>444.83646</v>
      </c>
      <c r="C87" s="55">
        <f>IF(OR(411.03615="",444.83646=""),"-",444.83646/411.03615*100)</f>
        <v>108.2231964268836</v>
      </c>
      <c r="D87" s="55">
        <f>IF(411.03615="","-",411.03615/1030698.33623*100)</f>
        <v>0.03987938425353948</v>
      </c>
      <c r="E87" s="55">
        <f>IF(444.83646="","-",444.83646/1326198.65303*100)</f>
        <v>0.03354221925830423</v>
      </c>
      <c r="F87" s="55">
        <f>IF(OR(861112.79978="",157.65463="",411.03615=""),"-",(411.03615-157.65463)/861112.79978*100)</f>
        <v>0.029424893006437112</v>
      </c>
      <c r="G87" s="55">
        <f>IF(OR(1030698.33623="",444.83646="",411.03615=""),"-",(444.83646-411.03615)/1030698.33623*100)</f>
        <v>0.0032793601010002445</v>
      </c>
    </row>
    <row r="88" spans="1:7" s="16" customFormat="1" ht="15.75">
      <c r="A88" s="39" t="s">
        <v>191</v>
      </c>
      <c r="B88" s="55">
        <f>IF(416.32171="","-",416.32171)</f>
        <v>416.32171</v>
      </c>
      <c r="C88" s="55" t="s">
        <v>295</v>
      </c>
      <c r="D88" s="55">
        <f>IF(0.47402="","-",0.47402/1030698.33623*100)</f>
        <v>4.599017805091543E-05</v>
      </c>
      <c r="E88" s="55">
        <f>IF(416.32171="","-",416.32171/1326198.65303*100)</f>
        <v>0.03139210773957726</v>
      </c>
      <c r="F88" s="55">
        <f>IF(OR(861112.79978="",5.24822="",0.47402=""),"-",(0.47402-5.24822)/861112.79978*100)</f>
        <v>-0.0005544221385653226</v>
      </c>
      <c r="G88" s="55">
        <f>IF(OR(1030698.33623="",416.32171="",0.47402=""),"-",(416.32171-0.47402)/1030698.33623*100)</f>
        <v>0.04034620755487508</v>
      </c>
    </row>
    <row r="89" spans="1:7" ht="15.75">
      <c r="A89" s="39" t="s">
        <v>259</v>
      </c>
      <c r="B89" s="55">
        <f>IF(408.88765="","-",408.88765)</f>
        <v>408.88765</v>
      </c>
      <c r="C89" s="55" t="s">
        <v>296</v>
      </c>
      <c r="D89" s="55">
        <f>IF(148.76047="","-",148.76047/1030698.33623*100)</f>
        <v>0.014432978571026251</v>
      </c>
      <c r="E89" s="55">
        <f>IF(408.88765="","-",408.88765/1326198.65303*100)</f>
        <v>0.030831553709227796</v>
      </c>
      <c r="F89" s="55">
        <f>IF(OR(861112.79978="",58.80178="",148.76047=""),"-",(148.76047-58.80178)/861112.79978*100)</f>
        <v>0.01044679512637403</v>
      </c>
      <c r="G89" s="55">
        <f>IF(OR(1030698.33623="",408.88765="",148.76047=""),"-",(408.88765-148.76047)/1030698.33623*100)</f>
        <v>0.025237954778453503</v>
      </c>
    </row>
    <row r="90" spans="1:7" ht="15.75">
      <c r="A90" s="39" t="s">
        <v>168</v>
      </c>
      <c r="B90" s="55">
        <f>IF(391.26288="","-",391.26288)</f>
        <v>391.26288</v>
      </c>
      <c r="C90" s="55" t="s">
        <v>201</v>
      </c>
      <c r="D90" s="55">
        <f>IF(245.71238="","-",245.71238/1030698.33623*100)</f>
        <v>0.023839407842526035</v>
      </c>
      <c r="E90" s="55">
        <f>IF(391.26288="","-",391.26288/1326198.65303*100)</f>
        <v>0.029502584632104072</v>
      </c>
      <c r="F90" s="55">
        <f>IF(OR(861112.79978="",255.63107="",245.71238=""),"-",(245.71238-255.63107)/861112.79978*100)</f>
        <v>-0.0011518456121583675</v>
      </c>
      <c r="G90" s="55">
        <f>IF(OR(1030698.33623="",391.26288="",245.71238=""),"-",(391.26288-245.71238)/1030698.33623*100)</f>
        <v>0.014121542150963602</v>
      </c>
    </row>
    <row r="91" spans="1:7" ht="15.75">
      <c r="A91" s="39" t="s">
        <v>170</v>
      </c>
      <c r="B91" s="55">
        <f>IF(390.73899="","-",390.73899)</f>
        <v>390.73899</v>
      </c>
      <c r="C91" s="55" t="s">
        <v>175</v>
      </c>
      <c r="D91" s="55">
        <f>IF(182.36774="","-",182.36774/1030698.33623*100)</f>
        <v>0.017693609622680587</v>
      </c>
      <c r="E91" s="55">
        <f>IF(390.73899="","-",390.73899/1326198.65303*100)</f>
        <v>0.029463081500442537</v>
      </c>
      <c r="F91" s="55">
        <f>IF(OR(861112.79978="",182.26921="",182.36774=""),"-",(182.36774-182.26921)/861112.79978*100)</f>
        <v>1.1442171109892184E-05</v>
      </c>
      <c r="G91" s="55">
        <f>IF(OR(1030698.33623="",390.73899="",182.36774=""),"-",(390.73899-182.36774)/1030698.33623*100)</f>
        <v>0.020216511725648312</v>
      </c>
    </row>
    <row r="92" spans="1:7" ht="15.75">
      <c r="A92" s="39" t="s">
        <v>272</v>
      </c>
      <c r="B92" s="55">
        <f>IF(358.77035="","-",358.77035)</f>
        <v>358.77035</v>
      </c>
      <c r="C92" s="55" t="s">
        <v>297</v>
      </c>
      <c r="D92" s="55">
        <f>IF(7.76699="","-",7.76699/1030698.33623*100)</f>
        <v>0.0007535657841856454</v>
      </c>
      <c r="E92" s="55">
        <f>IF(358.77035="","-",358.77035/1326198.65303*100)</f>
        <v>0.02705253463953596</v>
      </c>
      <c r="F92" s="55">
        <f>IF(OR(861112.79978="",0.11843="",7.76699=""),"-",(7.76699-0.11843)/861112.79978*100)</f>
        <v>0.0008882181291410464</v>
      </c>
      <c r="G92" s="55">
        <f>IF(OR(1030698.33623="",358.77035="",7.76699=""),"-",(358.77035-7.76699)/1030698.33623*100)</f>
        <v>0.0340549070141968</v>
      </c>
    </row>
    <row r="93" spans="1:7" ht="15.75">
      <c r="A93" s="39" t="s">
        <v>181</v>
      </c>
      <c r="B93" s="55">
        <f>IF(287.39877="","-",287.39877)</f>
        <v>287.39877</v>
      </c>
      <c r="C93" s="55" t="s">
        <v>298</v>
      </c>
      <c r="D93" s="55">
        <f>IF(68.17046="","-",68.17046/1030698.33623*100)</f>
        <v>0.0066140069896055195</v>
      </c>
      <c r="E93" s="55">
        <f>IF(287.39877="","-",287.39877/1326198.65303*100)</f>
        <v>0.021670868790536976</v>
      </c>
      <c r="F93" s="55">
        <f>IF(OR(861112.79978="",37.65312="",68.17046=""),"-",(68.17046-37.65312)/861112.79978*100)</f>
        <v>0.0035439422114961795</v>
      </c>
      <c r="G93" s="55">
        <f>IF(OR(1030698.33623="",287.39877="",68.17046=""),"-",(287.39877-68.17046)/1030698.33623*100)</f>
        <v>0.021269881040254176</v>
      </c>
    </row>
    <row r="94" spans="1:7" ht="15.75">
      <c r="A94" s="39" t="s">
        <v>180</v>
      </c>
      <c r="B94" s="55">
        <f>IF(261.28769="","-",261.28769)</f>
        <v>261.28769</v>
      </c>
      <c r="C94" s="55" t="s">
        <v>199</v>
      </c>
      <c r="D94" s="55">
        <f>IF(145.82963="","-",145.82963/1030698.33623*100)</f>
        <v>0.014148623789711655</v>
      </c>
      <c r="E94" s="55">
        <f>IF(261.28769="","-",261.28769/1326198.65303*100)</f>
        <v>0.01970200236616357</v>
      </c>
      <c r="F94" s="55">
        <f>IF(OR(861112.79978="",98.24766="",145.82963=""),"-",(145.82963-98.24766)/861112.79978*100)</f>
        <v>0.005525637293065022</v>
      </c>
      <c r="G94" s="55">
        <f>IF(OR(1030698.33623="",261.28769="",145.82963=""),"-",(261.28769-145.82963)/1030698.33623*100)</f>
        <v>0.011201925523845569</v>
      </c>
    </row>
    <row r="95" spans="1:7" ht="15.75">
      <c r="A95" s="39" t="s">
        <v>157</v>
      </c>
      <c r="B95" s="55">
        <f>IF(258.82767="","-",258.82767)</f>
        <v>258.82767</v>
      </c>
      <c r="C95" s="55">
        <f>IF(OR(202.01156="",258.82767=""),"-",258.82767/202.01156*100)</f>
        <v>128.1251775888469</v>
      </c>
      <c r="D95" s="55">
        <f>IF(202.01156="","-",202.01156/1030698.33623*100)</f>
        <v>0.019599484436823734</v>
      </c>
      <c r="E95" s="55">
        <f>IF(258.82767="","-",258.82767/1326198.65303*100)</f>
        <v>0.019516508285440482</v>
      </c>
      <c r="F95" s="55">
        <f>IF(OR(861112.79978="",314.32989="",202.01156=""),"-",(202.01156-314.32989)/861112.79978*100)</f>
        <v>-0.013043393389193081</v>
      </c>
      <c r="G95" s="55">
        <f>IF(OR(1030698.33623="",258.82767="",202.01156=""),"-",(258.82767-202.01156)/1030698.33623*100)</f>
        <v>0.005512389804355085</v>
      </c>
    </row>
    <row r="96" spans="1:7" ht="15.75">
      <c r="A96" s="39" t="s">
        <v>173</v>
      </c>
      <c r="B96" s="55">
        <f>IF(220.96757="","-",220.96757)</f>
        <v>220.96757</v>
      </c>
      <c r="C96" s="55" t="s">
        <v>175</v>
      </c>
      <c r="D96" s="55">
        <f>IF(104.40918="","-",104.40918/1030698.33623*100)</f>
        <v>0.010129945526243784</v>
      </c>
      <c r="E96" s="55">
        <f>IF(220.96757="","-",220.96757/1326198.65303*100)</f>
        <v>0.01666172480986538</v>
      </c>
      <c r="F96" s="55">
        <f>IF(OR(861112.79978="",82.28878="",104.40918=""),"-",(104.40918-82.28878)/861112.79978*100)</f>
        <v>0.00256881560762439</v>
      </c>
      <c r="G96" s="55">
        <f>IF(OR(1030698.33623="",220.96757="",104.40918=""),"-",(220.96757-104.40918)/1030698.33623*100)</f>
        <v>0.011308681299160458</v>
      </c>
    </row>
    <row r="97" spans="1:7" ht="15.75">
      <c r="A97" s="39" t="s">
        <v>197</v>
      </c>
      <c r="B97" s="55">
        <f>IF(190.72731="","-",190.72731)</f>
        <v>190.72731</v>
      </c>
      <c r="C97" s="55" t="s">
        <v>296</v>
      </c>
      <c r="D97" s="55">
        <f>IF(70.48541="","-",70.48541/1030698.33623*100)</f>
        <v>0.006838607138710973</v>
      </c>
      <c r="E97" s="55">
        <f>IF(190.72731="","-",190.72731/1326198.65303*100)</f>
        <v>0.014381503824049317</v>
      </c>
      <c r="F97" s="55">
        <f>IF(OR(861112.79978="",64.04617="",70.48541=""),"-",(70.48541-64.04617)/861112.79978*100)</f>
        <v>0.0007477812432523493</v>
      </c>
      <c r="G97" s="55">
        <f>IF(OR(1030698.33623="",190.72731="",70.48541=""),"-",(190.72731-70.48541)/1030698.33623*100)</f>
        <v>0.011666061326906814</v>
      </c>
    </row>
    <row r="98" spans="1:7" ht="15.75">
      <c r="A98" s="39" t="s">
        <v>260</v>
      </c>
      <c r="B98" s="55">
        <f>IF(183.68943="","-",183.68943)</f>
        <v>183.68943</v>
      </c>
      <c r="C98" s="55" t="s">
        <v>212</v>
      </c>
      <c r="D98" s="55">
        <f>IF(79.42832="","-",79.42832/1030698.33623*100)</f>
        <v>0.0077062625608309504</v>
      </c>
      <c r="E98" s="55">
        <f>IF(183.68943="","-",183.68943/1326198.65303*100)</f>
        <v>0.013850823146315227</v>
      </c>
      <c r="F98" s="55">
        <f>IF(OR(861112.79978="",68.17502="",79.42832=""),"-",(79.42832-68.17502)/861112.79978*100)</f>
        <v>0.0013068322759660553</v>
      </c>
      <c r="G98" s="55">
        <f>IF(OR(1030698.33623="",183.68943="",79.42832=""),"-",(183.68943-79.42832)/1030698.33623*100)</f>
        <v>0.01011557953817577</v>
      </c>
    </row>
    <row r="99" spans="1:7" ht="15.75">
      <c r="A99" s="39" t="s">
        <v>136</v>
      </c>
      <c r="B99" s="55">
        <f>IF(181.08156="","-",181.08156)</f>
        <v>181.08156</v>
      </c>
      <c r="C99" s="55">
        <f>IF(OR(185.99133="",181.08156=""),"-",181.08156/185.99133*100)</f>
        <v>97.36021566166552</v>
      </c>
      <c r="D99" s="55">
        <f>IF(185.99133="","-",185.99133/1030698.33623*100)</f>
        <v>0.01804517611625368</v>
      </c>
      <c r="E99" s="55">
        <f>IF(181.08156="","-",181.08156/1326198.65303*100)</f>
        <v>0.013654180660361729</v>
      </c>
      <c r="F99" s="55">
        <f>IF(OR(861112.79978="",368.27436="",185.99133=""),"-",(185.99133-368.27436)/861112.79978*100)</f>
        <v>-0.021168310359173652</v>
      </c>
      <c r="G99" s="55">
        <f>IF(OR(1030698.33623="",181.08156="",185.99133=""),"-",(181.08156-185.99133)/1030698.33623*100)</f>
        <v>-0.0004763537329417397</v>
      </c>
    </row>
    <row r="100" spans="1:7" ht="15.75">
      <c r="A100" s="39" t="s">
        <v>273</v>
      </c>
      <c r="B100" s="55">
        <f>IF(157.39761="","-",157.39761)</f>
        <v>157.39761</v>
      </c>
      <c r="C100" s="55">
        <f>IF(OR(179.38521="",157.39761=""),"-",157.39761/179.38521*100)</f>
        <v>87.74280220760674</v>
      </c>
      <c r="D100" s="55">
        <f>IF(179.38521="","-",179.38521/1030698.33623*100)</f>
        <v>0.017404239794947166</v>
      </c>
      <c r="E100" s="55">
        <f>IF(157.39761="","-",157.39761/1326198.65303*100)</f>
        <v>0.011868328296095736</v>
      </c>
      <c r="F100" s="55">
        <f>IF(OR(861112.79978="",160.54996="",179.38521=""),"-",(179.38521-160.54996)/861112.79978*100)</f>
        <v>0.0021873150654376635</v>
      </c>
      <c r="G100" s="55">
        <f>IF(OR(1030698.33623="",157.39761="",179.38521=""),"-",(157.39761-179.38521)/1030698.33623*100)</f>
        <v>-0.0021332720959290935</v>
      </c>
    </row>
    <row r="101" spans="1:7" ht="15.75">
      <c r="A101" s="39" t="s">
        <v>169</v>
      </c>
      <c r="B101" s="55">
        <f>IF(156.11649="","-",156.11649)</f>
        <v>156.11649</v>
      </c>
      <c r="C101" s="55">
        <f>IF(OR(176.17722="",156.11649=""),"-",156.11649/176.17722*100)</f>
        <v>88.61332356135486</v>
      </c>
      <c r="D101" s="55">
        <f>IF(176.17722="","-",176.17722/1030698.33623*100)</f>
        <v>0.017092995477649253</v>
      </c>
      <c r="E101" s="55">
        <f>IF(156.11649="","-",156.11649/1326198.65303*100)</f>
        <v>0.01177172738362512</v>
      </c>
      <c r="F101" s="55">
        <f>IF(OR(861112.79978="",264.19934="",176.17722=""),"-",(176.17722-264.19934)/861112.79978*100)</f>
        <v>-0.010221903567394212</v>
      </c>
      <c r="G101" s="55">
        <f>IF(OR(1030698.33623="",156.11649="",176.17722=""),"-",(156.11649-176.17722)/1030698.33623*100)</f>
        <v>-0.001946324088712166</v>
      </c>
    </row>
    <row r="102" spans="1:7" ht="15.75">
      <c r="A102" s="39" t="s">
        <v>140</v>
      </c>
      <c r="B102" s="55">
        <f>IF(106.39519="","-",106.39519)</f>
        <v>106.39519</v>
      </c>
      <c r="C102" s="55" t="s">
        <v>194</v>
      </c>
      <c r="D102" s="55">
        <f>IF(33.39561="","-",33.39561/1030698.33623*100)</f>
        <v>0.003240095460147107</v>
      </c>
      <c r="E102" s="55">
        <f>IF(106.39519="","-",106.39519/1326198.65303*100)</f>
        <v>0.008022568093921389</v>
      </c>
      <c r="F102" s="55">
        <f>IF(OR(861112.79978="",9.60048="",33.39561=""),"-",(33.39561-9.60048)/861112.79978*100)</f>
        <v>0.002763300000427268</v>
      </c>
      <c r="G102" s="55">
        <f>IF(OR(1030698.33623="",106.39519="",33.39561=""),"-",(106.39519-33.39561)/1030698.33623*100)</f>
        <v>0.007082535930640154</v>
      </c>
    </row>
    <row r="103" spans="1:7" ht="15.75">
      <c r="A103" s="39" t="s">
        <v>213</v>
      </c>
      <c r="B103" s="55">
        <f>IF(90.44218="","-",90.44218)</f>
        <v>90.44218</v>
      </c>
      <c r="C103" s="55" t="s">
        <v>285</v>
      </c>
      <c r="D103" s="55">
        <f>IF(0.75988="","-",0.75988/1030698.33623*100)</f>
        <v>7.37247721558787E-05</v>
      </c>
      <c r="E103" s="55">
        <f>IF(90.44218="","-",90.44218/1326198.65303*100)</f>
        <v>0.006819655546577765</v>
      </c>
      <c r="F103" s="55">
        <f>IF(OR(861112.79978="",2.94037="",0.75988=""),"-",(0.75988-2.94037)/861112.79978*100)</f>
        <v>-0.00025321769697966156</v>
      </c>
      <c r="G103" s="55">
        <f>IF(OR(1030698.33623="",90.44218="",0.75988=""),"-",(90.44218-0.75988)/1030698.33623*100)</f>
        <v>0.008701120089902563</v>
      </c>
    </row>
    <row r="104" spans="1:7" ht="15.75">
      <c r="A104" s="39" t="s">
        <v>274</v>
      </c>
      <c r="B104" s="55">
        <f>IF(74.87528="","-",74.87528)</f>
        <v>74.87528</v>
      </c>
      <c r="C104" s="55">
        <f>IF(OR(116.68223="",74.87528=""),"-",74.87528/116.68223*100)</f>
        <v>64.17025111707241</v>
      </c>
      <c r="D104" s="55">
        <f>IF(116.68223="","-",116.68223/1030698.33623*100)</f>
        <v>0.011320696453900396</v>
      </c>
      <c r="E104" s="55">
        <f>IF(74.87528="","-",74.87528/1326198.65303*100)</f>
        <v>0.005645857038757395</v>
      </c>
      <c r="F104" s="55">
        <f>IF(OR(861112.79978="",57.8195="",116.68223=""),"-",(116.68223-57.8195)/861112.79978*100)</f>
        <v>0.006835658466003345</v>
      </c>
      <c r="G104" s="55">
        <f>IF(OR(1030698.33623="",74.87528="",116.68223=""),"-",(74.87528-116.68223)/1030698.33623*100)</f>
        <v>-0.004056177111231</v>
      </c>
    </row>
    <row r="105" spans="1:7" ht="15.75">
      <c r="A105" s="39" t="s">
        <v>275</v>
      </c>
      <c r="B105" s="55">
        <f>IF(71.33112="","-",71.33112)</f>
        <v>71.33112</v>
      </c>
      <c r="C105" s="55" t="s">
        <v>175</v>
      </c>
      <c r="D105" s="55">
        <f>IF(34.10485="","-",34.10485/1030698.33623*100)</f>
        <v>0.0033089070585624303</v>
      </c>
      <c r="E105" s="55">
        <f>IF(71.33112="","-",71.33112/1326198.65303*100)</f>
        <v>0.005378615024003226</v>
      </c>
      <c r="F105" s="55">
        <f>IF(OR(861112.79978="",18.36807="",34.10485=""),"-",(34.10485-18.36807)/861112.79978*100)</f>
        <v>0.0018274934484797444</v>
      </c>
      <c r="G105" s="55">
        <f>IF(OR(1030698.33623="",71.33112="",34.10485=""),"-",(71.33112-34.10485)/1030698.33623*100)</f>
        <v>0.0036117522160909908</v>
      </c>
    </row>
    <row r="106" spans="1:7" ht="15.75">
      <c r="A106" s="39" t="s">
        <v>261</v>
      </c>
      <c r="B106" s="55">
        <f>IF(57.61297="","-",57.61297)</f>
        <v>57.61297</v>
      </c>
      <c r="C106" s="55" t="s">
        <v>175</v>
      </c>
      <c r="D106" s="55">
        <f>IF(27.53823="","-",27.53823/1030698.33623*100)</f>
        <v>0.0026718030903908293</v>
      </c>
      <c r="E106" s="55">
        <f>IF(57.61297="","-",57.61297/1326198.65303*100)</f>
        <v>0.00434421870874097</v>
      </c>
      <c r="F106" s="55">
        <f>IF(OR(861112.79978="",10.65463="",27.53823=""),"-",(27.53823-10.65463)/861112.79978*100)</f>
        <v>0.0019606722840856015</v>
      </c>
      <c r="G106" s="55">
        <f>IF(OR(1030698.33623="",57.61297="",27.53823=""),"-",(57.61297-27.53823)/1030698.33623*100)</f>
        <v>0.002917899344827198</v>
      </c>
    </row>
    <row r="107" spans="1:7" ht="15.75">
      <c r="A107" s="39" t="s">
        <v>204</v>
      </c>
      <c r="B107" s="55">
        <f>IF(50.30121="","-",50.30121)</f>
        <v>50.30121</v>
      </c>
      <c r="C107" s="55" t="s">
        <v>299</v>
      </c>
      <c r="D107" s="55">
        <f>IF(4.8596="","-",4.8596/1030698.33623*100)</f>
        <v>0.0004714861593524084</v>
      </c>
      <c r="E107" s="55">
        <f>IF(50.30121="","-",50.30121/1326198.65303*100)</f>
        <v>0.0037928865245847997</v>
      </c>
      <c r="F107" s="55">
        <f>IF(OR(861112.79978="",11.55706="",4.8596=""),"-",(4.8596-11.55706)/861112.79978*100)</f>
        <v>-0.0007777680231569069</v>
      </c>
      <c r="G107" s="55">
        <f>IF(OR(1030698.33623="",50.30121="",4.8596=""),"-",(50.30121-4.8596)/1030698.33623*100)</f>
        <v>0.004408817633897851</v>
      </c>
    </row>
    <row r="108" spans="1:7" ht="15.75">
      <c r="A108" s="65" t="s">
        <v>26</v>
      </c>
      <c r="B108" s="65"/>
      <c r="C108" s="65"/>
      <c r="D108" s="65"/>
      <c r="E108" s="65"/>
      <c r="F108" s="65"/>
      <c r="G108" s="65"/>
    </row>
  </sheetData>
  <sheetProtection/>
  <mergeCells count="10">
    <mergeCell ref="A108:G108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4"/>
  <sheetViews>
    <sheetView zoomScalePageLayoutView="0" workbookViewId="0" topLeftCell="A1">
      <selection activeCell="A1" sqref="A1:D1"/>
    </sheetView>
  </sheetViews>
  <sheetFormatPr defaultColWidth="9.00390625" defaultRowHeight="15.75"/>
  <cols>
    <col min="1" max="1" width="42.75390625" style="0" customWidth="1"/>
    <col min="2" max="3" width="13.875" style="0" customWidth="1"/>
    <col min="4" max="4" width="18.375" style="0" customWidth="1"/>
  </cols>
  <sheetData>
    <row r="1" spans="1:4" ht="15.75">
      <c r="A1" s="79" t="s">
        <v>241</v>
      </c>
      <c r="B1" s="79"/>
      <c r="C1" s="79"/>
      <c r="D1" s="79"/>
    </row>
    <row r="2" ht="15.75">
      <c r="A2" s="4"/>
    </row>
    <row r="3" spans="1:5" ht="26.25" customHeight="1">
      <c r="A3" s="81"/>
      <c r="B3" s="85" t="s">
        <v>251</v>
      </c>
      <c r="C3" s="86"/>
      <c r="D3" s="83" t="s">
        <v>252</v>
      </c>
      <c r="E3" s="1"/>
    </row>
    <row r="4" spans="1:5" ht="15.75">
      <c r="A4" s="82"/>
      <c r="B4" s="46">
        <v>2017</v>
      </c>
      <c r="C4" s="45">
        <v>2018</v>
      </c>
      <c r="D4" s="84"/>
      <c r="E4" s="1"/>
    </row>
    <row r="5" spans="1:4" ht="17.25" customHeight="1">
      <c r="A5" s="7" t="s">
        <v>187</v>
      </c>
      <c r="B5" s="53">
        <f>IF(-502531.40723="","-",-502531.40723)</f>
        <v>-502531.40723</v>
      </c>
      <c r="C5" s="53">
        <f>IF(-647970.41317="","-",-647970.41317)</f>
        <v>-647970.41317</v>
      </c>
      <c r="D5" s="53">
        <f>IF(-502531.40723="","-",-647970.41317/-502531.40723*100)</f>
        <v>128.9412768729567</v>
      </c>
    </row>
    <row r="6" spans="1:4" ht="15.75">
      <c r="A6" s="8" t="s">
        <v>29</v>
      </c>
      <c r="B6" s="35"/>
      <c r="C6" s="34"/>
      <c r="D6" s="40"/>
    </row>
    <row r="7" spans="1:4" ht="15.75">
      <c r="A7" s="37" t="s">
        <v>3</v>
      </c>
      <c r="B7" s="54">
        <f>IF(-155085.06923="","-",-155085.06923)</f>
        <v>-155085.06923</v>
      </c>
      <c r="C7" s="54">
        <f>IF(-189212.5219="","-",-189212.5219)</f>
        <v>-189212.5219</v>
      </c>
      <c r="D7" s="54">
        <f>IF(-155085.06923="","-",-189212.5219/-155085.06923*100)</f>
        <v>122.005633965567</v>
      </c>
    </row>
    <row r="8" spans="1:4" ht="15.75">
      <c r="A8" s="39" t="s">
        <v>6</v>
      </c>
      <c r="B8" s="55">
        <f>IF(-44399.12451="","-",-44399.12451)</f>
        <v>-44399.12451</v>
      </c>
      <c r="C8" s="55">
        <f>IF(-50349.59336="","-",-50349.59336)</f>
        <v>-50349.59336</v>
      </c>
      <c r="D8" s="55">
        <f>IF(OR(-44399.12451="",-50349.59336="",-44399.12451=0),"-",-50349.59336/-44399.12451*100)</f>
        <v>113.40222113762574</v>
      </c>
    </row>
    <row r="9" spans="1:4" ht="15.75">
      <c r="A9" s="39" t="s">
        <v>118</v>
      </c>
      <c r="B9" s="55">
        <f>IF(-21639.61195="","-",-21639.61195)</f>
        <v>-21639.61195</v>
      </c>
      <c r="C9" s="55">
        <f>IF(-29639.17378="","-",-29639.17378)</f>
        <v>-29639.17378</v>
      </c>
      <c r="D9" s="55">
        <f>IF(OR(-21639.61195="",-29639.17378="",-21639.61195=0),"-",-29639.17378/-21639.61195*100)</f>
        <v>136.96721479333183</v>
      </c>
    </row>
    <row r="10" spans="1:4" ht="15.75">
      <c r="A10" s="39" t="s">
        <v>188</v>
      </c>
      <c r="B10" s="55">
        <f>IF(-20394.5269="","-",-20394.5269)</f>
        <v>-20394.5269</v>
      </c>
      <c r="C10" s="55">
        <f>IF(-25914.92419="","-",-25914.92419)</f>
        <v>-25914.92419</v>
      </c>
      <c r="D10" s="55">
        <f>IF(OR(-20394.5269="",-25914.92419="",-20394.5269=0),"-",-25914.92419/-20394.5269*100)</f>
        <v>127.06803309077985</v>
      </c>
    </row>
    <row r="11" spans="1:4" ht="15.75">
      <c r="A11" s="39" t="s">
        <v>7</v>
      </c>
      <c r="B11" s="55">
        <f>IF(-13038.50641="","-",-13038.50641)</f>
        <v>-13038.50641</v>
      </c>
      <c r="C11" s="55">
        <f>IF(-22959.95968="","-",-22959.95968)</f>
        <v>-22959.95968</v>
      </c>
      <c r="D11" s="55" t="s">
        <v>199</v>
      </c>
    </row>
    <row r="12" spans="1:4" ht="15.75">
      <c r="A12" s="39" t="s">
        <v>10</v>
      </c>
      <c r="B12" s="55">
        <f>IF(-6710.21841="","-",-6710.21841)</f>
        <v>-6710.21841</v>
      </c>
      <c r="C12" s="55">
        <f>IF(-13337.44888="","-",-13337.44888)</f>
        <v>-13337.44888</v>
      </c>
      <c r="D12" s="55" t="s">
        <v>25</v>
      </c>
    </row>
    <row r="13" spans="1:4" ht="15.75">
      <c r="A13" s="39" t="s">
        <v>9</v>
      </c>
      <c r="B13" s="55">
        <f>IF(-7567.52374="","-",-7567.52374)</f>
        <v>-7567.52374</v>
      </c>
      <c r="C13" s="55">
        <f>IF(-9884.03071="","-",-9884.03071)</f>
        <v>-9884.03071</v>
      </c>
      <c r="D13" s="55">
        <f>IF(OR(-7567.52374="",-9884.03071="",-7567.52374=0),"-",-9884.03071/-7567.52374*100)</f>
        <v>130.61116224526043</v>
      </c>
    </row>
    <row r="14" spans="1:4" ht="15.75">
      <c r="A14" s="39" t="s">
        <v>116</v>
      </c>
      <c r="B14" s="55">
        <f>IF(-7641.64107="","-",-7641.64107)</f>
        <v>-7641.64107</v>
      </c>
      <c r="C14" s="55">
        <f>IF(-8207.26172="","-",-8207.26172)</f>
        <v>-8207.26172</v>
      </c>
      <c r="D14" s="55">
        <f>IF(OR(-7641.64107="",-8207.26172="",-7641.64107=0),"-",-8207.26172/-7641.64107*100)</f>
        <v>107.4018217398426</v>
      </c>
    </row>
    <row r="15" spans="1:4" ht="15.75">
      <c r="A15" s="39" t="s">
        <v>126</v>
      </c>
      <c r="B15" s="55">
        <f>IF(-3775.07622="","-",-3775.07622)</f>
        <v>-3775.07622</v>
      </c>
      <c r="C15" s="55">
        <f>IF(-6357.29052="","-",-6357.29052)</f>
        <v>-6357.29052</v>
      </c>
      <c r="D15" s="55" t="s">
        <v>200</v>
      </c>
    </row>
    <row r="16" spans="1:4" ht="15.75">
      <c r="A16" s="39" t="s">
        <v>253</v>
      </c>
      <c r="B16" s="55">
        <f>IF(-10739.48436="","-",-10739.48436)</f>
        <v>-10739.48436</v>
      </c>
      <c r="C16" s="55">
        <f>IF(-5910.57132="","-",-5910.57132)</f>
        <v>-5910.57132</v>
      </c>
      <c r="D16" s="55">
        <f>IF(OR(-10739.48436="",-5910.57132="",-10739.48436=0),"-",-5910.57132/-10739.48436*100)</f>
        <v>55.03589485184557</v>
      </c>
    </row>
    <row r="17" spans="1:4" ht="15.75">
      <c r="A17" s="39" t="s">
        <v>117</v>
      </c>
      <c r="B17" s="55">
        <f>IF(-5143.20297="","-",-5143.20297)</f>
        <v>-5143.20297</v>
      </c>
      <c r="C17" s="55">
        <f>IF(-5535.89855="","-",-5535.89855)</f>
        <v>-5535.89855</v>
      </c>
      <c r="D17" s="55">
        <f>IF(OR(-5143.20297="",-5535.89855="",-5143.20297=0),"-",-5535.89855/-5143.20297*100)</f>
        <v>107.63523396394368</v>
      </c>
    </row>
    <row r="18" spans="1:4" ht="15.75">
      <c r="A18" s="39" t="s">
        <v>5</v>
      </c>
      <c r="B18" s="55">
        <f>IF(-16964.24351="","-",-16964.24351)</f>
        <v>-16964.24351</v>
      </c>
      <c r="C18" s="55">
        <f>IF(-5490.25288="","-",-5490.25288)</f>
        <v>-5490.25288</v>
      </c>
      <c r="D18" s="55">
        <f>IF(OR(-16964.24351="",-5490.25288="",-16964.24351=0),"-",-5490.25288/-16964.24351*100)</f>
        <v>32.36367643958678</v>
      </c>
    </row>
    <row r="19" spans="1:4" ht="15.75">
      <c r="A19" s="39" t="s">
        <v>128</v>
      </c>
      <c r="B19" s="55">
        <f>IF(-4094.47019="","-",-4094.47019)</f>
        <v>-4094.47019</v>
      </c>
      <c r="C19" s="55">
        <f>IF(-5322.96507="","-",-5322.96507)</f>
        <v>-5322.96507</v>
      </c>
      <c r="D19" s="55">
        <f>IF(OR(-4094.47019="",-5322.96507="",-4094.47019=0),"-",-5322.96507/-4094.47019*100)</f>
        <v>130.0037568474763</v>
      </c>
    </row>
    <row r="20" spans="1:4" ht="15.75">
      <c r="A20" s="39" t="s">
        <v>127</v>
      </c>
      <c r="B20" s="55">
        <f>IF(-2787.77639="","-",-2787.77639)</f>
        <v>-2787.77639</v>
      </c>
      <c r="C20" s="55">
        <f>IF(-4090.33098="","-",-4090.33098)</f>
        <v>-4090.33098</v>
      </c>
      <c r="D20" s="55">
        <f>IF(OR(-2787.77639="",-4090.33098="",-2787.77639=0),"-",-4090.33098/-2787.77639*100)</f>
        <v>146.72378296452965</v>
      </c>
    </row>
    <row r="21" spans="1:4" ht="15.75">
      <c r="A21" s="39" t="s">
        <v>120</v>
      </c>
      <c r="B21" s="55">
        <f>IF(-3051.97141="","-",-3051.97141)</f>
        <v>-3051.97141</v>
      </c>
      <c r="C21" s="55">
        <f>IF(-3894.9048="","-",-3894.9048)</f>
        <v>-3894.9048</v>
      </c>
      <c r="D21" s="55">
        <f>IF(OR(-3051.97141="",-3894.9048="",-3051.97141=0),"-",-3894.9048/-3051.97141*100)</f>
        <v>127.61930820315253</v>
      </c>
    </row>
    <row r="22" spans="1:6" ht="15.75">
      <c r="A22" s="39" t="s">
        <v>12</v>
      </c>
      <c r="B22" s="55">
        <f>IF(-4101.47902="","-",-4101.47902)</f>
        <v>-4101.47902</v>
      </c>
      <c r="C22" s="55">
        <f>IF(-3579.35473="","-",-3579.35473)</f>
        <v>-3579.35473</v>
      </c>
      <c r="D22" s="55">
        <f>IF(OR(-4101.47902="",-3579.35473="",-4101.47902=0),"-",-3579.35473/-4101.47902*100)</f>
        <v>87.26985344911017</v>
      </c>
      <c r="F22" t="s">
        <v>207</v>
      </c>
    </row>
    <row r="23" spans="1:4" ht="15.75">
      <c r="A23" s="39" t="s">
        <v>124</v>
      </c>
      <c r="B23" s="55">
        <f>IF(-2724.21888="","-",-2724.21888)</f>
        <v>-2724.21888</v>
      </c>
      <c r="C23" s="55">
        <f>IF(-3120.77537="","-",-3120.77537)</f>
        <v>-3120.77537</v>
      </c>
      <c r="D23" s="55">
        <f>IF(OR(-2724.21888="",-3120.77537="",-2724.21888=0),"-",-3120.77537/-2724.21888*100)</f>
        <v>114.55670441576264</v>
      </c>
    </row>
    <row r="24" spans="1:4" ht="15.75">
      <c r="A24" s="39" t="s">
        <v>125</v>
      </c>
      <c r="B24" s="55">
        <f>IF(-1477.96255="","-",-1477.96255)</f>
        <v>-1477.96255</v>
      </c>
      <c r="C24" s="55">
        <f>IF(-1848.90986="","-",-1848.90986)</f>
        <v>-1848.90986</v>
      </c>
      <c r="D24" s="55">
        <f>IF(OR(-1477.96255="",-1848.90986="",-1477.96255=0),"-",-1848.90986/-1477.96255*100)</f>
        <v>125.09855950003606</v>
      </c>
    </row>
    <row r="25" spans="1:4" ht="15.75">
      <c r="A25" s="39" t="s">
        <v>121</v>
      </c>
      <c r="B25" s="55">
        <f>IF(-482.65025="","-",-482.65025)</f>
        <v>-482.65025</v>
      </c>
      <c r="C25" s="55">
        <f>IF(-1206.1245="","-",-1206.1245)</f>
        <v>-1206.1245</v>
      </c>
      <c r="D25" s="55" t="s">
        <v>179</v>
      </c>
    </row>
    <row r="26" spans="1:4" ht="15.75">
      <c r="A26" s="39" t="s">
        <v>129</v>
      </c>
      <c r="B26" s="55">
        <f>IF(-1046.79316="","-",-1046.79316)</f>
        <v>-1046.79316</v>
      </c>
      <c r="C26" s="55">
        <f>IF(-1068.13281="","-",-1068.13281)</f>
        <v>-1068.13281</v>
      </c>
      <c r="D26" s="55">
        <f>IF(OR(-1046.79316="",-1068.13281="",-1046.79316=0),"-",-1068.13281/-1046.79316*100)</f>
        <v>102.03857369492175</v>
      </c>
    </row>
    <row r="27" spans="1:4" ht="15.75">
      <c r="A27" s="39" t="s">
        <v>189</v>
      </c>
      <c r="B27" s="55">
        <f>IF(-199.74236="","-",-199.74236)</f>
        <v>-199.74236</v>
      </c>
      <c r="C27" s="55">
        <f>IF(-401.49629="","-",-401.49629)</f>
        <v>-401.49629</v>
      </c>
      <c r="D27" s="55" t="s">
        <v>25</v>
      </c>
    </row>
    <row r="28" spans="1:4" ht="15.75">
      <c r="A28" s="39" t="s">
        <v>130</v>
      </c>
      <c r="B28" s="55">
        <f>IF(-467.86811="","-",-467.86811)</f>
        <v>-467.86811</v>
      </c>
      <c r="C28" s="55">
        <f>IF(-236.08208="","-",-236.08208)</f>
        <v>-236.08208</v>
      </c>
      <c r="D28" s="55">
        <f>IF(OR(-467.86811="",-236.08208="",-467.86811=0),"-",-236.08208/-467.86811*100)</f>
        <v>50.45910908525054</v>
      </c>
    </row>
    <row r="29" spans="1:4" ht="15.75">
      <c r="A29" s="39" t="s">
        <v>122</v>
      </c>
      <c r="B29" s="55">
        <f>IF(-618.05431="","-",-618.05431)</f>
        <v>-618.05431</v>
      </c>
      <c r="C29" s="55">
        <f>IF(96.27253="","-",96.27253)</f>
        <v>96.27253</v>
      </c>
      <c r="D29" s="55" t="s">
        <v>30</v>
      </c>
    </row>
    <row r="30" spans="1:4" ht="15.75">
      <c r="A30" s="39" t="s">
        <v>119</v>
      </c>
      <c r="B30" s="55">
        <f>IF(-108.10492="","-",-108.10492)</f>
        <v>-108.10492</v>
      </c>
      <c r="C30" s="55">
        <f>IF(107.81441="","-",107.81441)</f>
        <v>107.81441</v>
      </c>
      <c r="D30" s="55" t="s">
        <v>30</v>
      </c>
    </row>
    <row r="31" spans="1:4" ht="15.75">
      <c r="A31" s="39" t="s">
        <v>131</v>
      </c>
      <c r="B31" s="55">
        <f>IF(-47.96609="","-",-47.96609)</f>
        <v>-47.96609</v>
      </c>
      <c r="C31" s="55">
        <f>IF(172.74891="","-",172.74891)</f>
        <v>172.74891</v>
      </c>
      <c r="D31" s="55" t="s">
        <v>30</v>
      </c>
    </row>
    <row r="32" spans="1:4" ht="15.75">
      <c r="A32" s="39" t="s">
        <v>8</v>
      </c>
      <c r="B32" s="55">
        <f>IF(3256.12809="","-",3256.12809)</f>
        <v>3256.12809</v>
      </c>
      <c r="C32" s="55">
        <f>IF(303.62973="","-",303.62973)</f>
        <v>303.62973</v>
      </c>
      <c r="D32" s="55">
        <f>IF(OR(3256.12809="",303.62973="",3256.12809=0),"-",303.62973/3256.12809*100)</f>
        <v>9.324870570432626</v>
      </c>
    </row>
    <row r="33" spans="1:4" ht="15.75">
      <c r="A33" s="39" t="s">
        <v>123</v>
      </c>
      <c r="B33" s="55">
        <f>IF(915.58393="","-",915.58393)</f>
        <v>915.58393</v>
      </c>
      <c r="C33" s="55">
        <f>IF(449.44451="","-",449.44451)</f>
        <v>449.44451</v>
      </c>
      <c r="D33" s="55">
        <f>IF(OR(915.58393="",449.44451="",915.58393=0),"-",449.44451/915.58393*100)</f>
        <v>49.08829166540745</v>
      </c>
    </row>
    <row r="34" spans="1:4" ht="15.75">
      <c r="A34" s="39" t="s">
        <v>11</v>
      </c>
      <c r="B34" s="55">
        <f>IF(911.92984="","-",911.92984)</f>
        <v>911.92984</v>
      </c>
      <c r="C34" s="55">
        <f>IF(5835.32872="","-",5835.32872)</f>
        <v>5835.32872</v>
      </c>
      <c r="D34" s="55" t="s">
        <v>280</v>
      </c>
    </row>
    <row r="35" spans="1:4" ht="15.75">
      <c r="A35" s="39" t="s">
        <v>195</v>
      </c>
      <c r="B35" s="55">
        <f>IF(19053.5066="","-",19053.5066)</f>
        <v>19053.5066</v>
      </c>
      <c r="C35" s="55">
        <f>IF(12177.72137="","-",12177.72137)</f>
        <v>12177.72137</v>
      </c>
      <c r="D35" s="55">
        <f>IF(OR(19053.5066="",12177.72137="",19053.5066=0),"-",12177.72137/19053.5066*100)</f>
        <v>63.91328182078567</v>
      </c>
    </row>
    <row r="36" spans="1:4" ht="15.75">
      <c r="A36" s="37" t="s">
        <v>13</v>
      </c>
      <c r="B36" s="54">
        <f>IF(-165386.64179="","-",-165386.64179)</f>
        <v>-165386.64179</v>
      </c>
      <c r="C36" s="54">
        <f>IF(-218888.7532="","-",-218888.7532)</f>
        <v>-218888.7532</v>
      </c>
      <c r="D36" s="54">
        <f>IF(-165386.64179="","-",-218888.7532/-165386.64179*100)</f>
        <v>132.3497175049569</v>
      </c>
    </row>
    <row r="37" spans="1:4" ht="15.75">
      <c r="A37" s="39" t="s">
        <v>196</v>
      </c>
      <c r="B37" s="55">
        <f>IF(-99151.43784="","-",-99151.43784)</f>
        <v>-99151.43784</v>
      </c>
      <c r="C37" s="55">
        <f>IF(-140928.89948="","-",-140928.89948)</f>
        <v>-140928.89948</v>
      </c>
      <c r="D37" s="55">
        <f>IF(OR(-99151.43784="",-140928.89948="",-99151.43784=0),"-",-140928.89948/-99151.43784*100)</f>
        <v>142.13500333441053</v>
      </c>
    </row>
    <row r="38" spans="1:4" ht="15.75">
      <c r="A38" s="39" t="s">
        <v>15</v>
      </c>
      <c r="B38" s="55">
        <f>IF(-69919.77637="","-",-69919.77637)</f>
        <v>-69919.77637</v>
      </c>
      <c r="C38" s="55">
        <f>IF(-91286.98347="","-",-91286.98347)</f>
        <v>-91286.98347</v>
      </c>
      <c r="D38" s="55">
        <f>IF(OR(-69919.77637="",-91286.98347="",-69919.77637=0),"-",-91286.98347/-69919.77637*100)</f>
        <v>130.5596044628768</v>
      </c>
    </row>
    <row r="39" spans="1:4" ht="15.75">
      <c r="A39" s="39" t="s">
        <v>18</v>
      </c>
      <c r="B39" s="55">
        <f>IF(247.64086="","-",247.64086)</f>
        <v>247.64086</v>
      </c>
      <c r="C39" s="55">
        <f>IF(-512.6709="","-",-512.6709)</f>
        <v>-512.6709</v>
      </c>
      <c r="D39" s="55" t="s">
        <v>30</v>
      </c>
    </row>
    <row r="40" spans="1:4" ht="15.75">
      <c r="A40" s="39" t="s">
        <v>20</v>
      </c>
      <c r="B40" s="55">
        <f>IF(111.83787="","-",111.83787)</f>
        <v>111.83787</v>
      </c>
      <c r="C40" s="55">
        <f>IF(55.02848="","-",55.02848)</f>
        <v>55.02848</v>
      </c>
      <c r="D40" s="55">
        <f>IF(OR(111.83787="",55.02848="",111.83787=0),"-",55.02848/111.83787*100)</f>
        <v>49.20379831983567</v>
      </c>
    </row>
    <row r="41" spans="1:4" ht="15.75">
      <c r="A41" s="39" t="s">
        <v>22</v>
      </c>
      <c r="B41" s="55">
        <f>IF(105.74978="","-",105.74978)</f>
        <v>105.74978</v>
      </c>
      <c r="C41" s="55">
        <f>IF(98.16516="","-",98.16516)</f>
        <v>98.16516</v>
      </c>
      <c r="D41" s="55">
        <f>IF(OR(105.74978="",98.16516="",105.74978=0),"-",98.16516/105.74978*100)</f>
        <v>92.82776758495383</v>
      </c>
    </row>
    <row r="42" spans="1:4" ht="15.75">
      <c r="A42" s="39" t="s">
        <v>21</v>
      </c>
      <c r="B42" s="55">
        <f>IF(-57.44635="","-",-57.44635)</f>
        <v>-57.44635</v>
      </c>
      <c r="C42" s="55">
        <f>IF(246.59696="","-",246.59696)</f>
        <v>246.59696</v>
      </c>
      <c r="D42" s="55" t="s">
        <v>30</v>
      </c>
    </row>
    <row r="43" spans="1:4" ht="15.75">
      <c r="A43" s="39" t="s">
        <v>19</v>
      </c>
      <c r="B43" s="55">
        <f>IF(158.84121="","-",158.84121)</f>
        <v>158.84121</v>
      </c>
      <c r="C43" s="55">
        <f>IF(274.24716="","-",274.24716)</f>
        <v>274.24716</v>
      </c>
      <c r="D43" s="55" t="s">
        <v>200</v>
      </c>
    </row>
    <row r="44" spans="1:4" ht="15.75">
      <c r="A44" s="39" t="s">
        <v>17</v>
      </c>
      <c r="B44" s="55">
        <f>IF(879.61807="","-",879.61807)</f>
        <v>879.61807</v>
      </c>
      <c r="C44" s="55">
        <f>IF(1094.69924="","-",1094.69924)</f>
        <v>1094.69924</v>
      </c>
      <c r="D44" s="55">
        <f>IF(OR(879.61807="",1094.69924="",879.61807=0),"-",1094.69924/879.61807*100)</f>
        <v>124.45165434129837</v>
      </c>
    </row>
    <row r="45" spans="1:4" ht="15.75">
      <c r="A45" s="39" t="s">
        <v>16</v>
      </c>
      <c r="B45" s="55">
        <f>IF(1376.80424="","-",1376.80424)</f>
        <v>1376.80424</v>
      </c>
      <c r="C45" s="55">
        <f>IF(3032.11602="","-",3032.11602)</f>
        <v>3032.11602</v>
      </c>
      <c r="D45" s="55" t="s">
        <v>182</v>
      </c>
    </row>
    <row r="46" spans="1:4" ht="15.75">
      <c r="A46" s="39" t="s">
        <v>14</v>
      </c>
      <c r="B46" s="55">
        <f>IF(861.52674="","-",861.52674)</f>
        <v>861.52674</v>
      </c>
      <c r="C46" s="55">
        <f>IF(9038.94763="","-",9038.94763)</f>
        <v>9038.94763</v>
      </c>
      <c r="D46" s="55" t="s">
        <v>281</v>
      </c>
    </row>
    <row r="47" spans="1:4" ht="15.75">
      <c r="A47" s="9" t="s">
        <v>23</v>
      </c>
      <c r="B47" s="54">
        <f>IF(-182059.69621="","-",-182059.69621)</f>
        <v>-182059.69621</v>
      </c>
      <c r="C47" s="54">
        <f>IF(-239869.13807="","-",-239869.13807)</f>
        <v>-239869.13807</v>
      </c>
      <c r="D47" s="54">
        <f>IF(-182059.69621="","-",-239869.13807/-182059.69621*100)</f>
        <v>131.7530145679902</v>
      </c>
    </row>
    <row r="48" spans="1:4" ht="15.75">
      <c r="A48" s="39" t="s">
        <v>135</v>
      </c>
      <c r="B48" s="55">
        <f>IF(-102732.70169="","-",-102732.70169)</f>
        <v>-102732.70169</v>
      </c>
      <c r="C48" s="55">
        <f>IF(-143555.38703="","-",-143555.38703)</f>
        <v>-143555.38703</v>
      </c>
      <c r="D48" s="55">
        <f>IF(OR(-102732.70169="",-143555.38703="",-102732.70169=0),"-",-143555.38703/-102732.70169*100)</f>
        <v>139.73679721106146</v>
      </c>
    </row>
    <row r="49" spans="1:4" ht="15.75">
      <c r="A49" s="39" t="s">
        <v>132</v>
      </c>
      <c r="B49" s="55">
        <f>IF(-43542.27619="","-",-43542.27619)</f>
        <v>-43542.27619</v>
      </c>
      <c r="C49" s="55">
        <f>IF(-51144.63237="","-",-51144.63237)</f>
        <v>-51144.63237</v>
      </c>
      <c r="D49" s="55">
        <f>IF(OR(-43542.27619="",-51144.63237="",-43542.27619=0),"-",-51144.63237/-43542.27619*100)</f>
        <v>117.4597123651197</v>
      </c>
    </row>
    <row r="50" spans="1:4" ht="15.75">
      <c r="A50" s="39" t="s">
        <v>24</v>
      </c>
      <c r="B50" s="55">
        <f>IF(-20312.82732="","-",-20312.82732)</f>
        <v>-20312.82732</v>
      </c>
      <c r="C50" s="55">
        <f>IF(-14293.00341="","-",-14293.00341)</f>
        <v>-14293.00341</v>
      </c>
      <c r="D50" s="55">
        <f>IF(OR(-20312.82732="",-14293.00341="",-20312.82732=0),"-",-14293.00341/-20312.82732*100)</f>
        <v>70.3644213817892</v>
      </c>
    </row>
    <row r="51" spans="1:4" ht="15.75">
      <c r="A51" s="39" t="s">
        <v>153</v>
      </c>
      <c r="B51" s="55">
        <f>IF(-5646.92912="","-",-5646.92912)</f>
        <v>-5646.92912</v>
      </c>
      <c r="C51" s="55">
        <f>IF(-11867.59981="","-",-11867.59981)</f>
        <v>-11867.59981</v>
      </c>
      <c r="D51" s="55" t="s">
        <v>175</v>
      </c>
    </row>
    <row r="52" spans="1:4" ht="15.75">
      <c r="A52" s="39" t="s">
        <v>149</v>
      </c>
      <c r="B52" s="55">
        <f>IF(-6139.04814="","-",-6139.04814)</f>
        <v>-6139.04814</v>
      </c>
      <c r="C52" s="55">
        <f>IF(-8765.3266="","-",-8765.3266)</f>
        <v>-8765.3266</v>
      </c>
      <c r="D52" s="55">
        <f>IF(OR(-6139.04814="",-8765.3266="",-6139.04814=0),"-",-8765.3266/-6139.04814*100)</f>
        <v>142.77989681963953</v>
      </c>
    </row>
    <row r="53" spans="1:4" ht="15.75">
      <c r="A53" s="39" t="s">
        <v>146</v>
      </c>
      <c r="B53" s="55">
        <f>IF(-6991.44103="","-",-6991.44103)</f>
        <v>-6991.44103</v>
      </c>
      <c r="C53" s="55">
        <f>IF(-7743.40046="","-",-7743.40046)</f>
        <v>-7743.40046</v>
      </c>
      <c r="D53" s="55">
        <f>IF(OR(-6991.44103="",-7743.40046="",-6991.44103=0),"-",-7743.40046/-6991.44103*100)</f>
        <v>110.75542834121566</v>
      </c>
    </row>
    <row r="54" spans="1:4" ht="15.75">
      <c r="A54" s="39" t="s">
        <v>110</v>
      </c>
      <c r="B54" s="55">
        <f>IF(-5537.22639="","-",-5537.22639)</f>
        <v>-5537.22639</v>
      </c>
      <c r="C54" s="55">
        <f>IF(-6237.81828="","-",-6237.81828)</f>
        <v>-6237.81828</v>
      </c>
      <c r="D54" s="55">
        <f>IF(OR(-5537.22639="",-6237.81828="",-5537.22639=0),"-",-6237.81828/-5537.22639*100)</f>
        <v>112.65239743972253</v>
      </c>
    </row>
    <row r="55" spans="1:4" ht="15.75">
      <c r="A55" s="39" t="s">
        <v>158</v>
      </c>
      <c r="B55" s="55">
        <f>IF(-3336.38002="","-",-3336.38002)</f>
        <v>-3336.38002</v>
      </c>
      <c r="C55" s="55">
        <f>IF(-4514.99966="","-",-4514.99966)</f>
        <v>-4514.99966</v>
      </c>
      <c r="D55" s="55">
        <f>IF(OR(-3336.38002="",-4514.99966="",-3336.38002=0),"-",-4514.99966/-3336.38002*100)</f>
        <v>135.32630074915747</v>
      </c>
    </row>
    <row r="56" spans="1:4" ht="15.75">
      <c r="A56" s="39" t="s">
        <v>147</v>
      </c>
      <c r="B56" s="55">
        <f>IF(-3209.40322="","-",-3209.40322)</f>
        <v>-3209.40322</v>
      </c>
      <c r="C56" s="55">
        <f>IF(-3556.97801="","-",-3556.97801)</f>
        <v>-3556.97801</v>
      </c>
      <c r="D56" s="55">
        <f>IF(OR(-3209.40322="",-3556.97801="",-3209.40322=0),"-",-3556.97801/-3209.40322*100)</f>
        <v>110.82988849247803</v>
      </c>
    </row>
    <row r="57" spans="1:4" ht="15.75">
      <c r="A57" s="39" t="s">
        <v>138</v>
      </c>
      <c r="B57" s="55">
        <f>IF(-1362.56079="","-",-1362.56079)</f>
        <v>-1362.56079</v>
      </c>
      <c r="C57" s="55">
        <f>IF(-3341.42905="","-",-3341.42905)</f>
        <v>-3341.42905</v>
      </c>
      <c r="D57" s="55" t="s">
        <v>179</v>
      </c>
    </row>
    <row r="58" spans="1:4" ht="15.75">
      <c r="A58" s="39" t="s">
        <v>148</v>
      </c>
      <c r="B58" s="55">
        <f>IF(-1975.09137="","-",-1975.09137)</f>
        <v>-1975.09137</v>
      </c>
      <c r="C58" s="55">
        <f>IF(-2795.33212="","-",-2795.33212)</f>
        <v>-2795.33212</v>
      </c>
      <c r="D58" s="55">
        <f>IF(OR(-1975.09137="",-2795.33212="",-1975.09137=0),"-",-2795.33212/-1975.09137*100)</f>
        <v>141.52925593513174</v>
      </c>
    </row>
    <row r="59" spans="1:4" ht="15.75">
      <c r="A59" s="39" t="s">
        <v>162</v>
      </c>
      <c r="B59" s="55">
        <f>IF(-1295.19297="","-",-1295.19297)</f>
        <v>-1295.19297</v>
      </c>
      <c r="C59" s="55">
        <f>IF(-2761.18624="","-",-2761.18624)</f>
        <v>-2761.18624</v>
      </c>
      <c r="D59" s="55" t="s">
        <v>175</v>
      </c>
    </row>
    <row r="60" spans="1:4" ht="15.75">
      <c r="A60" s="39" t="s">
        <v>159</v>
      </c>
      <c r="B60" s="55">
        <f>IF(-1723.64333="","-",-1723.64333)</f>
        <v>-1723.64333</v>
      </c>
      <c r="C60" s="55">
        <f>IF(-2473.05533="","-",-2473.05533)</f>
        <v>-2473.05533</v>
      </c>
      <c r="D60" s="55">
        <f>IF(OR(-1723.64333="",-2473.05533="",-1723.64333=0),"-",-2473.05533/-1723.64333*100)</f>
        <v>143.47836857872446</v>
      </c>
    </row>
    <row r="61" spans="1:7" ht="15.75">
      <c r="A61" s="39" t="s">
        <v>155</v>
      </c>
      <c r="B61" s="55">
        <f>IF(-1612.62517="","-",-1612.62517)</f>
        <v>-1612.62517</v>
      </c>
      <c r="C61" s="55">
        <f>IF(-2313.1793="","-",-2313.1793)</f>
        <v>-2313.1793</v>
      </c>
      <c r="D61" s="55">
        <f>IF(OR(-1612.62517="",-2313.1793="",-1612.62517=0),"-",-2313.1793/-1612.62517*100)</f>
        <v>143.4418451995264</v>
      </c>
      <c r="E61" s="1"/>
      <c r="F61" s="1"/>
      <c r="G61" s="1"/>
    </row>
    <row r="62" spans="1:4" ht="15.75">
      <c r="A62" s="39" t="s">
        <v>161</v>
      </c>
      <c r="B62" s="55">
        <f>IF(-1161.65579="","-",-1161.65579)</f>
        <v>-1161.65579</v>
      </c>
      <c r="C62" s="55">
        <f>IF(-1905.34389="","-",-1905.34389)</f>
        <v>-1905.34389</v>
      </c>
      <c r="D62" s="55" t="s">
        <v>201</v>
      </c>
    </row>
    <row r="63" spans="1:4" ht="15.75">
      <c r="A63" s="39" t="s">
        <v>139</v>
      </c>
      <c r="B63" s="55">
        <f>IF(-1544.60703="","-",-1544.60703)</f>
        <v>-1544.60703</v>
      </c>
      <c r="C63" s="55">
        <f>IF(-1875.66665="","-",-1875.66665)</f>
        <v>-1875.66665</v>
      </c>
      <c r="D63" s="55">
        <f>IF(OR(-1544.60703="",-1875.66665="",-1544.60703=0),"-",-1875.66665/-1544.60703*100)</f>
        <v>121.43325865867645</v>
      </c>
    </row>
    <row r="64" spans="1:4" ht="15.75">
      <c r="A64" s="39" t="s">
        <v>143</v>
      </c>
      <c r="B64" s="55">
        <f>IF(-1653.63345="","-",-1653.63345)</f>
        <v>-1653.63345</v>
      </c>
      <c r="C64" s="55">
        <f>IF(-1799.49031="","-",-1799.49031)</f>
        <v>-1799.49031</v>
      </c>
      <c r="D64" s="55">
        <f>IF(OR(-1653.63345="",-1799.49031="",-1653.63345=0),"-",-1799.49031/-1653.63345*100)</f>
        <v>108.82038640425422</v>
      </c>
    </row>
    <row r="65" spans="1:4" ht="15.75">
      <c r="A65" s="39" t="s">
        <v>163</v>
      </c>
      <c r="B65" s="55">
        <f>IF(-617.10338="","-",-617.10338)</f>
        <v>-617.10338</v>
      </c>
      <c r="C65" s="55">
        <f>IF(-1531.48033="","-",-1531.48033)</f>
        <v>-1531.48033</v>
      </c>
      <c r="D65" s="55" t="s">
        <v>179</v>
      </c>
    </row>
    <row r="66" spans="1:4" ht="15.75">
      <c r="A66" s="39" t="s">
        <v>151</v>
      </c>
      <c r="B66" s="55">
        <f>IF(-585.22152="","-",-585.22152)</f>
        <v>-585.22152</v>
      </c>
      <c r="C66" s="55">
        <f>IF(-1367.41307="","-",-1367.41307)</f>
        <v>-1367.41307</v>
      </c>
      <c r="D66" s="55" t="s">
        <v>212</v>
      </c>
    </row>
    <row r="67" spans="1:4" ht="15.75">
      <c r="A67" s="39" t="s">
        <v>114</v>
      </c>
      <c r="B67" s="55">
        <f>IF(-230.43411="","-",-230.43411)</f>
        <v>-230.43411</v>
      </c>
      <c r="C67" s="55">
        <f>IF(-1298.90767="","-",-1298.90767)</f>
        <v>-1298.90767</v>
      </c>
      <c r="D67" s="55" t="s">
        <v>282</v>
      </c>
    </row>
    <row r="68" spans="1:7" ht="15.75">
      <c r="A68" s="39" t="s">
        <v>166</v>
      </c>
      <c r="B68" s="55">
        <f>IF(-675.75634="","-",-675.75634)</f>
        <v>-675.75634</v>
      </c>
      <c r="C68" s="55">
        <f>IF(-778.06474="","-",-778.06474)</f>
        <v>-778.06474</v>
      </c>
      <c r="D68" s="55">
        <f>IF(OR(-675.75634="",-778.06474="",-675.75634=0),"-",-778.06474/-675.75634*100)</f>
        <v>115.13983575795974</v>
      </c>
      <c r="E68" s="1"/>
      <c r="F68" s="1"/>
      <c r="G68" s="1"/>
    </row>
    <row r="69" spans="1:4" ht="15.75">
      <c r="A69" s="39" t="s">
        <v>160</v>
      </c>
      <c r="B69" s="55">
        <f>IF(-689.62407="","-",-689.62407)</f>
        <v>-689.62407</v>
      </c>
      <c r="C69" s="55">
        <f>IF(-749.86904="","-",-749.86904)</f>
        <v>-749.86904</v>
      </c>
      <c r="D69" s="55">
        <f>IF(OR(-689.62407="",-749.86904="",-689.62407=0),"-",-749.86904/-689.62407*100)</f>
        <v>108.73591462664581</v>
      </c>
    </row>
    <row r="70" spans="1:4" ht="15.75">
      <c r="A70" s="39" t="s">
        <v>137</v>
      </c>
      <c r="B70" s="55">
        <f>IF(-63.35462="","-",-63.35462)</f>
        <v>-63.35462</v>
      </c>
      <c r="C70" s="55">
        <f>IF(-700.97541="","-",-700.97541)</f>
        <v>-700.97541</v>
      </c>
      <c r="D70" s="55" t="s">
        <v>283</v>
      </c>
    </row>
    <row r="71" spans="1:4" ht="15.75">
      <c r="A71" s="39" t="s">
        <v>113</v>
      </c>
      <c r="B71" s="55">
        <f>IF(-193.43508="","-",-193.43508)</f>
        <v>-193.43508</v>
      </c>
      <c r="C71" s="55">
        <f>IF(-612.73192="","-",-612.73192)</f>
        <v>-612.73192</v>
      </c>
      <c r="D71" s="55" t="s">
        <v>222</v>
      </c>
    </row>
    <row r="72" spans="1:4" ht="15.75">
      <c r="A72" s="39" t="s">
        <v>167</v>
      </c>
      <c r="B72" s="55">
        <f>IF(-208.84673="","-",-208.84673)</f>
        <v>-208.84673</v>
      </c>
      <c r="C72" s="55">
        <f>IF(-611.70125="","-",-611.70125)</f>
        <v>-611.70125</v>
      </c>
      <c r="D72" s="55" t="s">
        <v>211</v>
      </c>
    </row>
    <row r="73" spans="1:4" ht="15.75">
      <c r="A73" s="39" t="s">
        <v>144</v>
      </c>
      <c r="B73" s="55">
        <f>IF(876.20828="","-",876.20828)</f>
        <v>876.20828</v>
      </c>
      <c r="C73" s="55">
        <f>IF(-493.2872="","-",-493.2872)</f>
        <v>-493.2872</v>
      </c>
      <c r="D73" s="55" t="s">
        <v>30</v>
      </c>
    </row>
    <row r="74" spans="1:4" ht="15.75">
      <c r="A74" s="39" t="s">
        <v>164</v>
      </c>
      <c r="B74" s="55">
        <f>IF(-682.80076="","-",-682.80076)</f>
        <v>-682.80076</v>
      </c>
      <c r="C74" s="55">
        <f>IF(-480.57417="","-",-480.57417)</f>
        <v>-480.57417</v>
      </c>
      <c r="D74" s="55">
        <f>IF(OR(-682.80076="",-480.57417="",-682.80076=0),"-",-480.57417/-682.80076*100)</f>
        <v>70.3827819406645</v>
      </c>
    </row>
    <row r="75" spans="1:4" ht="15.75">
      <c r="A75" s="39" t="s">
        <v>150</v>
      </c>
      <c r="B75" s="55">
        <f>IF(-573.21921="","-",-573.21921)</f>
        <v>-573.21921</v>
      </c>
      <c r="C75" s="55">
        <f>IF(-480.14094="","-",-480.14094)</f>
        <v>-480.14094</v>
      </c>
      <c r="D75" s="55">
        <f>IF(OR(-573.21921="",-480.14094="",-573.21921=0),"-",-480.14094/-573.21921*100)</f>
        <v>83.76218584858663</v>
      </c>
    </row>
    <row r="76" spans="1:7" ht="15.75">
      <c r="A76" s="39" t="s">
        <v>172</v>
      </c>
      <c r="B76" s="55">
        <f>IF(-326.27878="","-",-326.27878)</f>
        <v>-326.27878</v>
      </c>
      <c r="C76" s="55">
        <f>IF(-479.13928="","-",-479.13928)</f>
        <v>-479.13928</v>
      </c>
      <c r="D76" s="55">
        <f>IF(OR(-326.27878="",-479.13928="",-326.27878=0),"-",-479.13928/-326.27878*100)</f>
        <v>146.84966028130913</v>
      </c>
      <c r="E76" s="21"/>
      <c r="F76" s="21"/>
      <c r="G76" s="21"/>
    </row>
    <row r="77" spans="1:4" ht="15.75">
      <c r="A77" s="39" t="s">
        <v>171</v>
      </c>
      <c r="B77" s="55">
        <f>IF(-389.71043="","-",-389.71043)</f>
        <v>-389.71043</v>
      </c>
      <c r="C77" s="55">
        <f>IF(-469.27293="","-",-469.27293)</f>
        <v>-469.27293</v>
      </c>
      <c r="D77" s="55">
        <f>IF(OR(-389.71043="",-469.27293="",-389.71043=0),"-",-469.27293/-389.71043*100)</f>
        <v>120.41579949502506</v>
      </c>
    </row>
    <row r="78" spans="1:4" ht="15.75">
      <c r="A78" s="39" t="s">
        <v>226</v>
      </c>
      <c r="B78" s="55">
        <f>IF(-277.38659="","-",-277.38659)</f>
        <v>-277.38659</v>
      </c>
      <c r="C78" s="55">
        <f>IF(-458.75719="","-",-458.75719)</f>
        <v>-458.75719</v>
      </c>
      <c r="D78" s="55" t="s">
        <v>200</v>
      </c>
    </row>
    <row r="79" spans="1:4" ht="15.75">
      <c r="A79" s="39" t="s">
        <v>190</v>
      </c>
      <c r="B79" s="55">
        <f>IF(309.0892="","-",309.0892)</f>
        <v>309.0892</v>
      </c>
      <c r="C79" s="55">
        <f>IF(-453.49691="","-",-453.49691)</f>
        <v>-453.49691</v>
      </c>
      <c r="D79" s="55" t="s">
        <v>30</v>
      </c>
    </row>
    <row r="80" spans="1:4" ht="15.75">
      <c r="A80" s="39" t="s">
        <v>165</v>
      </c>
      <c r="B80" s="55">
        <f>IF(-348.67743="","-",-348.67743)</f>
        <v>-348.67743</v>
      </c>
      <c r="C80" s="55">
        <f>IF(-416.16178="","-",-416.16178)</f>
        <v>-416.16178</v>
      </c>
      <c r="D80" s="55">
        <f>IF(OR(-348.67743="",-416.16178="",-348.67743=0),"-",-416.16178/-348.67743*100)</f>
        <v>119.35437863012814</v>
      </c>
    </row>
    <row r="81" spans="1:4" ht="15.75">
      <c r="A81" s="39" t="s">
        <v>168</v>
      </c>
      <c r="B81" s="55">
        <f>IF(-245.71238="","-",-245.71238)</f>
        <v>-245.71238</v>
      </c>
      <c r="C81" s="55">
        <f>IF(-391.26288="","-",-391.26288)</f>
        <v>-391.26288</v>
      </c>
      <c r="D81" s="55" t="s">
        <v>201</v>
      </c>
    </row>
    <row r="82" spans="1:4" ht="15.75">
      <c r="A82" s="39" t="s">
        <v>145</v>
      </c>
      <c r="B82" s="55">
        <f>IF(614.894="","-",614.894)</f>
        <v>614.894</v>
      </c>
      <c r="C82" s="55">
        <f>IF(-386.82996="","-",-386.82996)</f>
        <v>-386.82996</v>
      </c>
      <c r="D82" s="55" t="s">
        <v>30</v>
      </c>
    </row>
    <row r="83" spans="1:4" ht="15.75">
      <c r="A83" s="39" t="s">
        <v>141</v>
      </c>
      <c r="B83" s="55">
        <f>IF(-1217.42025="","-",-1217.42025)</f>
        <v>-1217.42025</v>
      </c>
      <c r="C83" s="55">
        <f>IF(-365.45826="","-",-365.45826)</f>
        <v>-365.45826</v>
      </c>
      <c r="D83" s="55">
        <f>IF(OR(-1217.42025="",-365.45826="",-1217.42025=0),"-",-365.45826/-1217.42025*100)</f>
        <v>30.01907188581757</v>
      </c>
    </row>
    <row r="84" spans="1:4" ht="15.75">
      <c r="A84" s="39" t="s">
        <v>272</v>
      </c>
      <c r="B84" s="55">
        <f>IF(11492.23301="","-",11492.23301)</f>
        <v>11492.23301</v>
      </c>
      <c r="C84" s="55">
        <f>IF(-358.77035="","-",-358.77035)</f>
        <v>-358.77035</v>
      </c>
      <c r="D84" s="55" t="s">
        <v>30</v>
      </c>
    </row>
    <row r="85" spans="1:4" ht="15.75">
      <c r="A85" s="39" t="s">
        <v>170</v>
      </c>
      <c r="B85" s="55">
        <f>IF(-182.36774="","-",-182.36774)</f>
        <v>-182.36774</v>
      </c>
      <c r="C85" s="55">
        <f>IF(-355.94412="","-",-355.94412)</f>
        <v>-355.94412</v>
      </c>
      <c r="D85" s="55" t="s">
        <v>25</v>
      </c>
    </row>
    <row r="86" spans="1:4" ht="15.75">
      <c r="A86" s="39" t="s">
        <v>181</v>
      </c>
      <c r="B86" s="55">
        <f>IF(-57.79931="","-",-57.79931)</f>
        <v>-57.79931</v>
      </c>
      <c r="C86" s="55">
        <f>IF(-275.80253="","-",-275.80253)</f>
        <v>-275.80253</v>
      </c>
      <c r="D86" s="55" t="s">
        <v>227</v>
      </c>
    </row>
    <row r="87" spans="1:4" ht="15.75">
      <c r="A87" s="39" t="s">
        <v>191</v>
      </c>
      <c r="B87" s="55">
        <f>IF(56.42347="","-",56.42347)</f>
        <v>56.42347</v>
      </c>
      <c r="C87" s="55">
        <f>IF(-268.90744="","-",-268.90744)</f>
        <v>-268.90744</v>
      </c>
      <c r="D87" s="55" t="s">
        <v>30</v>
      </c>
    </row>
    <row r="88" spans="1:4" ht="15.75">
      <c r="A88" s="39" t="s">
        <v>180</v>
      </c>
      <c r="B88" s="55">
        <f>IF(-145.82963="","-",-145.82963)</f>
        <v>-145.82963</v>
      </c>
      <c r="C88" s="55">
        <f>IF(-261.28769="","-",-261.28769)</f>
        <v>-261.28769</v>
      </c>
      <c r="D88" s="55" t="s">
        <v>199</v>
      </c>
    </row>
    <row r="89" spans="1:4" ht="15.75">
      <c r="A89" s="39" t="s">
        <v>157</v>
      </c>
      <c r="B89" s="55">
        <f>IF(-202.01156="","-",-202.01156)</f>
        <v>-202.01156</v>
      </c>
      <c r="C89" s="55">
        <f>IF(-258.82767="","-",-258.82767)</f>
        <v>-258.82767</v>
      </c>
      <c r="D89" s="55">
        <f>IF(OR(-202.01156="",-258.82767="",-202.01156=0),"-",-258.82767/-202.01156*100)</f>
        <v>128.1251775888469</v>
      </c>
    </row>
    <row r="90" spans="1:4" ht="15.75">
      <c r="A90" s="39" t="s">
        <v>197</v>
      </c>
      <c r="B90" s="55">
        <f>IF(-70.48541="","-",-70.48541)</f>
        <v>-70.48541</v>
      </c>
      <c r="C90" s="55">
        <f>IF(-173.90736="","-",-173.90736)</f>
        <v>-173.90736</v>
      </c>
      <c r="D90" s="55" t="s">
        <v>179</v>
      </c>
    </row>
    <row r="91" spans="1:4" ht="15.75">
      <c r="A91" s="39" t="s">
        <v>174</v>
      </c>
      <c r="B91" s="55">
        <f>IF(-179.38521="","-",-179.38521)</f>
        <v>-179.38521</v>
      </c>
      <c r="C91" s="55">
        <f>IF(-157.39761="","-",-157.39761)</f>
        <v>-157.39761</v>
      </c>
      <c r="D91" s="55">
        <f>IF(OR(-179.38521="",-157.39761="",-179.38521=0),"-",-157.39761/-179.38521*100)</f>
        <v>87.74280220760674</v>
      </c>
    </row>
    <row r="92" spans="1:4" ht="15.75">
      <c r="A92" s="39" t="s">
        <v>169</v>
      </c>
      <c r="B92" s="55">
        <f>IF(-176.17722="","-",-176.17722)</f>
        <v>-176.17722</v>
      </c>
      <c r="C92" s="55">
        <f>IF(-156.11649="","-",-156.11649)</f>
        <v>-156.11649</v>
      </c>
      <c r="D92" s="55">
        <f>IF(OR(-176.17722="",-156.11649="",-176.17722=0),"-",-156.11649/-176.17722*100)</f>
        <v>88.61332356135486</v>
      </c>
    </row>
    <row r="93" spans="1:4" ht="15.75">
      <c r="A93" s="39" t="s">
        <v>173</v>
      </c>
      <c r="B93" s="55">
        <f>IF(-17.45609="","-",-17.45609)</f>
        <v>-17.45609</v>
      </c>
      <c r="C93" s="55">
        <f>IF(-143.50404="","-",-143.50404)</f>
        <v>-143.50404</v>
      </c>
      <c r="D93" s="55" t="s">
        <v>284</v>
      </c>
    </row>
    <row r="94" spans="1:4" ht="15.75">
      <c r="A94" s="39" t="s">
        <v>213</v>
      </c>
      <c r="B94" s="55">
        <f>IF(-0.75988="","-",-0.75988)</f>
        <v>-0.75988</v>
      </c>
      <c r="C94" s="55">
        <f>IF(-90.44218="","-",-90.44218)</f>
        <v>-90.44218</v>
      </c>
      <c r="D94" s="55" t="s">
        <v>285</v>
      </c>
    </row>
    <row r="95" spans="1:4" ht="15.75">
      <c r="A95" s="39" t="s">
        <v>274</v>
      </c>
      <c r="B95" s="55">
        <f>IF(-116.68223="","-",-116.68223)</f>
        <v>-116.68223</v>
      </c>
      <c r="C95" s="55">
        <f>IF(-74.87528="","-",-74.87528)</f>
        <v>-74.87528</v>
      </c>
      <c r="D95" s="55">
        <f>IF(OR(-116.68223="",-74.87528="",-116.68223=0),"-",-74.87528/-116.68223*100)</f>
        <v>64.17025111707241</v>
      </c>
    </row>
    <row r="96" spans="1:7" ht="15.75">
      <c r="A96" s="39" t="s">
        <v>278</v>
      </c>
      <c r="B96" s="55">
        <f>IF(-34.10485="","-",-34.10485)</f>
        <v>-34.10485</v>
      </c>
      <c r="C96" s="55">
        <f>IF(-71.33112="","-",-71.33112)</f>
        <v>-71.33112</v>
      </c>
      <c r="D96" s="55" t="s">
        <v>175</v>
      </c>
      <c r="E96" s="21"/>
      <c r="F96" s="21"/>
      <c r="G96" s="21"/>
    </row>
    <row r="97" spans="1:7" ht="15.75">
      <c r="A97" s="39" t="s">
        <v>277</v>
      </c>
      <c r="B97" s="55">
        <f>IF(-0.3657="","-",-0.3657)</f>
        <v>-0.3657</v>
      </c>
      <c r="C97" s="55">
        <f>IF(-7.64056="","-",-7.64056)</f>
        <v>-7.64056</v>
      </c>
      <c r="D97" s="55" t="s">
        <v>286</v>
      </c>
      <c r="E97" s="21"/>
      <c r="F97" s="21"/>
      <c r="G97" s="21"/>
    </row>
    <row r="98" spans="1:4" ht="15.75">
      <c r="A98" s="39" t="s">
        <v>265</v>
      </c>
      <c r="B98" s="55">
        <f>IF(2725.77747="","-",2725.77747)</f>
        <v>2725.77747</v>
      </c>
      <c r="C98" s="55">
        <f>IF(48.21795="","-",48.21795)</f>
        <v>48.21795</v>
      </c>
      <c r="D98" s="55">
        <f>IF(OR(2725.77747="",48.21795="",2725.77747=0),"-",48.21795/2725.77747*100)</f>
        <v>1.7689613525200942</v>
      </c>
    </row>
    <row r="99" spans="1:4" ht="15.75">
      <c r="A99" s="39" t="s">
        <v>267</v>
      </c>
      <c r="B99" s="55">
        <f>IF(8.936="","-",8.936)</f>
        <v>8.936</v>
      </c>
      <c r="C99" s="55">
        <f>IF(48.96218="","-",48.96218)</f>
        <v>48.96218</v>
      </c>
      <c r="D99" s="55" t="s">
        <v>223</v>
      </c>
    </row>
    <row r="100" spans="1:7" ht="15.75">
      <c r="A100" s="39" t="s">
        <v>156</v>
      </c>
      <c r="B100" s="55">
        <f>IF(74.30561="","-",74.30561)</f>
        <v>74.30561</v>
      </c>
      <c r="C100" s="55">
        <f>IF(61.44566="","-",61.44566)</f>
        <v>61.44566</v>
      </c>
      <c r="D100" s="55">
        <f>IF(OR(74.30561="",61.44566="",74.30561=0),"-",61.44566/74.30561*100)</f>
        <v>82.69316408276575</v>
      </c>
      <c r="E100" s="20"/>
      <c r="F100" s="20"/>
      <c r="G100" s="20"/>
    </row>
    <row r="101" spans="1:4" ht="15.75">
      <c r="A101" s="39" t="s">
        <v>206</v>
      </c>
      <c r="B101" s="55">
        <f>IF(-0.11138="","-",-0.11138)</f>
        <v>-0.11138</v>
      </c>
      <c r="C101" s="55">
        <f>IF(67.71165="","-",67.71165)</f>
        <v>67.71165</v>
      </c>
      <c r="D101" s="55" t="s">
        <v>30</v>
      </c>
    </row>
    <row r="102" spans="1:7" ht="15.75">
      <c r="A102" s="39" t="s">
        <v>208</v>
      </c>
      <c r="B102" s="55">
        <f>IF(-0.10535="","-",-0.10535)</f>
        <v>-0.10535</v>
      </c>
      <c r="C102" s="55">
        <f>IF(69.77432="","-",69.77432)</f>
        <v>69.77432</v>
      </c>
      <c r="D102" s="55" t="s">
        <v>30</v>
      </c>
      <c r="E102" s="20"/>
      <c r="F102" s="20"/>
      <c r="G102" s="20"/>
    </row>
    <row r="103" spans="1:7" ht="15.75">
      <c r="A103" s="39" t="s">
        <v>220</v>
      </c>
      <c r="B103" s="55">
        <f>IF(-0.40038="","-",-0.40038)</f>
        <v>-0.40038</v>
      </c>
      <c r="C103" s="55">
        <f>IF(74.15029="","-",74.15029)</f>
        <v>74.15029</v>
      </c>
      <c r="D103" s="55" t="s">
        <v>30</v>
      </c>
      <c r="E103" s="1"/>
      <c r="F103" s="1"/>
      <c r="G103" s="1"/>
    </row>
    <row r="104" spans="1:4" ht="15.75">
      <c r="A104" s="39" t="s">
        <v>266</v>
      </c>
      <c r="B104" s="55">
        <f>IF(0="","-",0)</f>
        <v>0</v>
      </c>
      <c r="C104" s="55">
        <f>IF(74.4605="","-",74.4605)</f>
        <v>74.4605</v>
      </c>
      <c r="D104" s="55" t="str">
        <f>IF(OR(0="",74.4605="",0=0),"-",74.4605/0*100)</f>
        <v>-</v>
      </c>
    </row>
    <row r="105" spans="1:4" ht="15.75">
      <c r="A105" s="39" t="s">
        <v>279</v>
      </c>
      <c r="B105" s="55">
        <f>IF(99.4423="","-",99.4423)</f>
        <v>99.4423</v>
      </c>
      <c r="C105" s="55">
        <f>IF(90.19549="","-",90.19549)</f>
        <v>90.19549</v>
      </c>
      <c r="D105" s="55">
        <f>IF(OR(99.4423="",90.19549="",99.4423=0),"-",90.19549/99.4423*100)</f>
        <v>90.7013313247984</v>
      </c>
    </row>
    <row r="106" spans="1:4" ht="15.75">
      <c r="A106" s="39" t="s">
        <v>263</v>
      </c>
      <c r="B106" s="55">
        <f>IF(0="","-",0)</f>
        <v>0</v>
      </c>
      <c r="C106" s="55">
        <f>IF(104.24928="","-",104.24928)</f>
        <v>104.24928</v>
      </c>
      <c r="D106" s="55" t="str">
        <f>IF(OR(0="",104.24928="",0=0),"-",104.24928/0*100)</f>
        <v>-</v>
      </c>
    </row>
    <row r="107" spans="1:7" ht="15.75">
      <c r="A107" s="39" t="s">
        <v>262</v>
      </c>
      <c r="B107" s="55">
        <f>IF(0="","-",0)</f>
        <v>0</v>
      </c>
      <c r="C107" s="55">
        <f>IF(113.52085="","-",113.52085)</f>
        <v>113.52085</v>
      </c>
      <c r="D107" s="55" t="str">
        <f>IF(OR(0="",113.52085="",0=0),"-",113.52085/0*100)</f>
        <v>-</v>
      </c>
      <c r="E107" s="21"/>
      <c r="F107" s="21"/>
      <c r="G107" s="21"/>
    </row>
    <row r="108" spans="1:7" ht="15.75">
      <c r="A108" s="39" t="s">
        <v>205</v>
      </c>
      <c r="B108" s="55">
        <f>IF(0.16292="","-",0.16292)</f>
        <v>0.16292</v>
      </c>
      <c r="C108" s="55">
        <f>IF(203.26985="","-",203.26985)</f>
        <v>203.26985</v>
      </c>
      <c r="D108" s="55" t="s">
        <v>287</v>
      </c>
      <c r="E108" s="17"/>
      <c r="F108" s="17"/>
      <c r="G108" s="17"/>
    </row>
    <row r="109" spans="1:4" ht="15.75">
      <c r="A109" s="39" t="s">
        <v>178</v>
      </c>
      <c r="B109" s="55">
        <f>IF(91.07321="","-",91.07321)</f>
        <v>91.07321</v>
      </c>
      <c r="C109" s="55">
        <f>IF(222.61881="","-",222.61881)</f>
        <v>222.61881</v>
      </c>
      <c r="D109" s="55" t="s">
        <v>115</v>
      </c>
    </row>
    <row r="110" spans="1:7" ht="15.75">
      <c r="A110" s="39" t="s">
        <v>204</v>
      </c>
      <c r="B110" s="55">
        <f>IF(-4.8596="","-",-4.8596)</f>
        <v>-4.8596</v>
      </c>
      <c r="C110" s="55">
        <f>IF(253.0887="","-",253.0887)</f>
        <v>253.0887</v>
      </c>
      <c r="D110" s="55" t="s">
        <v>30</v>
      </c>
      <c r="E110" s="21"/>
      <c r="F110" s="21"/>
      <c r="G110" s="21"/>
    </row>
    <row r="111" spans="1:4" ht="15.75">
      <c r="A111" s="39" t="s">
        <v>218</v>
      </c>
      <c r="B111" s="55">
        <f>IF(0="","-",0)</f>
        <v>0</v>
      </c>
      <c r="C111" s="55">
        <f>IF(272.8708="","-",272.8708)</f>
        <v>272.8708</v>
      </c>
      <c r="D111" s="55" t="str">
        <f>IF(OR(0="",272.8708="",0=0),"-",272.8708/0*100)</f>
        <v>-</v>
      </c>
    </row>
    <row r="112" spans="1:4" ht="15.75">
      <c r="A112" s="39" t="s">
        <v>261</v>
      </c>
      <c r="B112" s="55">
        <f>IF(-27.53823="","-",-27.53823)</f>
        <v>-27.53823</v>
      </c>
      <c r="C112" s="55">
        <f>IF(275.03153="","-",275.03153)</f>
        <v>275.03153</v>
      </c>
      <c r="D112" s="55" t="s">
        <v>30</v>
      </c>
    </row>
    <row r="113" spans="1:7" ht="15.75">
      <c r="A113" s="39" t="s">
        <v>193</v>
      </c>
      <c r="B113" s="55">
        <f>IF(328.32019="","-",328.32019)</f>
        <v>328.32019</v>
      </c>
      <c r="C113" s="55">
        <f>IF(319.99886="","-",319.99886)</f>
        <v>319.99886</v>
      </c>
      <c r="D113" s="55">
        <f>IF(OR(328.32019="",319.99886="",328.32019=0),"-",319.99886/328.32019*100)</f>
        <v>97.46548331371274</v>
      </c>
      <c r="E113" s="21"/>
      <c r="F113" s="21"/>
      <c r="G113" s="21"/>
    </row>
    <row r="114" spans="1:4" ht="15.75">
      <c r="A114" s="39" t="s">
        <v>142</v>
      </c>
      <c r="B114" s="55">
        <f>IF(-739.60934="","-",-739.60934)</f>
        <v>-739.60934</v>
      </c>
      <c r="C114" s="55">
        <f>IF(322.94549="","-",322.94549)</f>
        <v>322.94549</v>
      </c>
      <c r="D114" s="55" t="s">
        <v>30</v>
      </c>
    </row>
    <row r="115" spans="1:4" ht="15.75">
      <c r="A115" s="39" t="s">
        <v>210</v>
      </c>
      <c r="B115" s="55">
        <f>IF(-30.56879="","-",-30.56879)</f>
        <v>-30.56879</v>
      </c>
      <c r="C115" s="55">
        <f>IF(420.24704="","-",420.24704)</f>
        <v>420.24704</v>
      </c>
      <c r="D115" s="55" t="s">
        <v>30</v>
      </c>
    </row>
    <row r="116" spans="1:4" ht="15.75">
      <c r="A116" s="39" t="s">
        <v>154</v>
      </c>
      <c r="B116" s="55">
        <f>IF(163.84491="","-",163.84491)</f>
        <v>163.84491</v>
      </c>
      <c r="C116" s="55">
        <f>IF(466.44744="","-",466.44744)</f>
        <v>466.44744</v>
      </c>
      <c r="D116" s="55" t="s">
        <v>176</v>
      </c>
    </row>
    <row r="117" spans="1:4" ht="15.75">
      <c r="A117" s="39" t="s">
        <v>140</v>
      </c>
      <c r="B117" s="55">
        <f>IF(157.27547="","-",157.27547)</f>
        <v>157.27547</v>
      </c>
      <c r="C117" s="55">
        <f>IF(512.14676="","-",512.14676)</f>
        <v>512.14676</v>
      </c>
      <c r="D117" s="55" t="s">
        <v>288</v>
      </c>
    </row>
    <row r="118" spans="1:4" ht="15.75">
      <c r="A118" s="39" t="s">
        <v>112</v>
      </c>
      <c r="B118" s="55">
        <f>IF(609.40663="","-",609.40663)</f>
        <v>609.40663</v>
      </c>
      <c r="C118" s="55">
        <f>IF(1192.05917="","-",1192.05917)</f>
        <v>1192.05917</v>
      </c>
      <c r="D118" s="55" t="s">
        <v>25</v>
      </c>
    </row>
    <row r="119" spans="1:4" ht="15.75">
      <c r="A119" s="39" t="s">
        <v>136</v>
      </c>
      <c r="B119" s="55">
        <f>IF(3363.5675="","-",3363.5675)</f>
        <v>3363.5675</v>
      </c>
      <c r="C119" s="55">
        <f>IF(3446.67252="","-",3446.67252)</f>
        <v>3446.67252</v>
      </c>
      <c r="D119" s="55">
        <f>IF(OR(3363.5675="",3446.67252="",3363.5675=0),"-",3446.67252/3363.5675*100)</f>
        <v>102.47074036718456</v>
      </c>
    </row>
    <row r="120" spans="1:4" ht="15.75">
      <c r="A120" s="39" t="s">
        <v>133</v>
      </c>
      <c r="B120" s="55">
        <f>IF(4031.4842="","-",4031.4842)</f>
        <v>4031.4842</v>
      </c>
      <c r="C120" s="55">
        <f>IF(3652.31174="","-",3652.31174)</f>
        <v>3652.31174</v>
      </c>
      <c r="D120" s="55">
        <f>IF(OR(4031.4842="",3652.31174="",4031.4842=0),"-",3652.31174/4031.4842*100)</f>
        <v>90.59471794531652</v>
      </c>
    </row>
    <row r="121" spans="1:4" ht="15.75">
      <c r="A121" s="39" t="s">
        <v>152</v>
      </c>
      <c r="B121" s="55">
        <f>IF(553.47071="","-",553.47071)</f>
        <v>553.47071</v>
      </c>
      <c r="C121" s="55">
        <f>IF(4892.03332="","-",4892.03332)</f>
        <v>4892.03332</v>
      </c>
      <c r="D121" s="55" t="s">
        <v>289</v>
      </c>
    </row>
    <row r="122" spans="1:4" ht="15.75">
      <c r="A122" s="39" t="s">
        <v>134</v>
      </c>
      <c r="B122" s="55">
        <f>IF(3510.29551="","-",3510.29551)</f>
        <v>3510.29551</v>
      </c>
      <c r="C122" s="55">
        <f>IF(5080.95966="","-",5080.95966)</f>
        <v>5080.95966</v>
      </c>
      <c r="D122" s="55">
        <f>IF(OR(3510.29551="",5080.95966="",3510.29551=0),"-",5080.95966/3510.29551*100)</f>
        <v>144.74449930285215</v>
      </c>
    </row>
    <row r="123" spans="1:4" ht="15.75">
      <c r="A123" s="39" t="s">
        <v>192</v>
      </c>
      <c r="B123" s="55">
        <f>IF(972.81191="","-",972.81191)</f>
        <v>972.81191</v>
      </c>
      <c r="C123" s="55">
        <f>IF(14407.33091="","-",14407.33091)</f>
        <v>14407.33091</v>
      </c>
      <c r="D123" s="55" t="s">
        <v>290</v>
      </c>
    </row>
    <row r="124" spans="1:4" ht="15.75">
      <c r="A124" s="80" t="s">
        <v>26</v>
      </c>
      <c r="B124" s="80"/>
      <c r="C124" s="80"/>
      <c r="D124" s="80"/>
    </row>
  </sheetData>
  <sheetProtection/>
  <mergeCells count="5">
    <mergeCell ref="A124:D124"/>
    <mergeCell ref="A1:D1"/>
    <mergeCell ref="A3:A4"/>
    <mergeCell ref="D3:D4"/>
    <mergeCell ref="B3:C3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33"/>
  <sheetViews>
    <sheetView zoomScalePageLayoutView="0" workbookViewId="0" topLeftCell="A1">
      <selection activeCell="A1" sqref="A1:E1"/>
    </sheetView>
  </sheetViews>
  <sheetFormatPr defaultColWidth="9.00390625" defaultRowHeight="15.75"/>
  <cols>
    <col min="1" max="1" width="32.625" style="0" customWidth="1"/>
    <col min="2" max="2" width="14.25390625" style="0" customWidth="1"/>
    <col min="3" max="3" width="14.00390625" style="0" customWidth="1"/>
    <col min="4" max="5" width="10.50390625" style="0" customWidth="1"/>
  </cols>
  <sheetData>
    <row r="1" spans="1:5" ht="15.75">
      <c r="A1" s="66" t="s">
        <v>300</v>
      </c>
      <c r="B1" s="66"/>
      <c r="C1" s="66"/>
      <c r="D1" s="66"/>
      <c r="E1" s="66"/>
    </row>
    <row r="2" spans="1:5" ht="15.75">
      <c r="A2" s="16"/>
      <c r="B2" s="16"/>
      <c r="C2" s="16"/>
      <c r="D2" s="16"/>
      <c r="E2" s="16"/>
    </row>
    <row r="3" spans="1:6" ht="19.5" customHeight="1">
      <c r="A3" s="67"/>
      <c r="B3" s="70" t="s">
        <v>248</v>
      </c>
      <c r="C3" s="71"/>
      <c r="D3" s="70" t="s">
        <v>209</v>
      </c>
      <c r="E3" s="87"/>
      <c r="F3" s="1"/>
    </row>
    <row r="4" spans="1:6" ht="21.75" customHeight="1">
      <c r="A4" s="68"/>
      <c r="B4" s="74" t="s">
        <v>302</v>
      </c>
      <c r="C4" s="76" t="s">
        <v>249</v>
      </c>
      <c r="D4" s="78" t="s">
        <v>250</v>
      </c>
      <c r="E4" s="70"/>
      <c r="F4" s="1"/>
    </row>
    <row r="5" spans="1:6" ht="20.25" customHeight="1">
      <c r="A5" s="69"/>
      <c r="B5" s="75"/>
      <c r="C5" s="77"/>
      <c r="D5" s="48">
        <v>2017</v>
      </c>
      <c r="E5" s="47">
        <v>2018</v>
      </c>
      <c r="F5" s="1"/>
    </row>
    <row r="6" spans="1:5" ht="15.75" customHeight="1">
      <c r="A6" s="30" t="s">
        <v>28</v>
      </c>
      <c r="B6" s="56">
        <f>IF(678228.23986="","-",678228.23986)</f>
        <v>678228.23986</v>
      </c>
      <c r="C6" s="58">
        <v>128.41</v>
      </c>
      <c r="D6" s="56">
        <v>100</v>
      </c>
      <c r="E6" s="56">
        <v>100</v>
      </c>
    </row>
    <row r="7" spans="1:5" ht="15.75" customHeight="1">
      <c r="A7" s="14" t="s">
        <v>2</v>
      </c>
      <c r="B7" s="54"/>
      <c r="C7" s="62"/>
      <c r="D7" s="54"/>
      <c r="E7" s="54"/>
    </row>
    <row r="8" spans="1:5" ht="15.75">
      <c r="A8" s="52" t="s">
        <v>229</v>
      </c>
      <c r="B8" s="55">
        <f>IF(51348.52061="","-",51348.52061)</f>
        <v>51348.52061</v>
      </c>
      <c r="C8" s="59">
        <v>126.53</v>
      </c>
      <c r="D8" s="55">
        <f>IF(40581.31071="","-",40581.31071/528166.929*100)</f>
        <v>7.683425160078509</v>
      </c>
      <c r="E8" s="55">
        <f>IF(51348.52061="","-",51348.52061/678228.23986*100)</f>
        <v>7.57097944205322</v>
      </c>
    </row>
    <row r="9" spans="1:5" ht="15.75">
      <c r="A9" s="52" t="s">
        <v>230</v>
      </c>
      <c r="B9" s="55">
        <f>IF(24862.73482="","-",24862.73482)</f>
        <v>24862.73482</v>
      </c>
      <c r="C9" s="59" t="s">
        <v>115</v>
      </c>
      <c r="D9" s="55">
        <f>IF(10169.81749="","-",10169.81749/528166.929*100)</f>
        <v>1.9254930461577608</v>
      </c>
      <c r="E9" s="55">
        <f>IF(24862.73482="","-",24862.73482/678228.23986*100)</f>
        <v>3.6658359765633133</v>
      </c>
    </row>
    <row r="10" spans="1:5" ht="15.75">
      <c r="A10" s="52" t="s">
        <v>231</v>
      </c>
      <c r="B10" s="55">
        <f>IF(592083.27499="","-",592083.27499)</f>
        <v>592083.27499</v>
      </c>
      <c r="C10" s="59">
        <v>129.02</v>
      </c>
      <c r="D10" s="55">
        <f>IF(458920.372="","-",458920.372/528166.929*100)</f>
        <v>86.88926678330516</v>
      </c>
      <c r="E10" s="55">
        <f>IF(592083.27499="","-",592083.27499/678228.23986*100)</f>
        <v>87.2985287537154</v>
      </c>
    </row>
    <row r="11" spans="1:5" ht="15.75">
      <c r="A11" s="52" t="s">
        <v>232</v>
      </c>
      <c r="B11" s="55">
        <f>IF(9668.32619="","-",9668.32619)</f>
        <v>9668.32619</v>
      </c>
      <c r="C11" s="59">
        <v>53.03</v>
      </c>
      <c r="D11" s="55">
        <f>IF(18232.06022="","-",18232.06022/528166.929*100)</f>
        <v>3.4519503624582297</v>
      </c>
      <c r="E11" s="55">
        <f>IF(9668.32619="","-",9668.32619/678228.23986*100)</f>
        <v>1.4255269276306952</v>
      </c>
    </row>
    <row r="12" spans="1:5" ht="15.75">
      <c r="A12" s="52" t="s">
        <v>236</v>
      </c>
      <c r="B12" s="55">
        <f>IF(263.34639="","-",263.34639)</f>
        <v>263.34639</v>
      </c>
      <c r="C12" s="59">
        <v>134.02</v>
      </c>
      <c r="D12" s="55">
        <f>IF(196.49591="","-",196.49591/528166.929*100)</f>
        <v>0.037203372496652475</v>
      </c>
      <c r="E12" s="55">
        <f>IF(263.34639="","-",263.34639/678228.23986*100)</f>
        <v>0.03882857930751453</v>
      </c>
    </row>
    <row r="13" spans="1:5" ht="15.75">
      <c r="A13" s="52" t="s">
        <v>237</v>
      </c>
      <c r="B13" s="55">
        <f>IF(2.03686="","-",2.03686)</f>
        <v>2.03686</v>
      </c>
      <c r="C13" s="59">
        <v>126.28</v>
      </c>
      <c r="D13" s="55">
        <f>IF(1.61301="","-",1.61301/528166.929*100)</f>
        <v>0.0003053977656370833</v>
      </c>
      <c r="E13" s="55">
        <f>IF(2.03686="","-",2.03686/678228.23986*100)</f>
        <v>0.0003003207298505366</v>
      </c>
    </row>
    <row r="14" spans="1:5" ht="15.75">
      <c r="A14" s="51" t="s">
        <v>234</v>
      </c>
      <c r="B14" s="54">
        <f>IF(113669.33643="","-",113669.33643)</f>
        <v>113669.33643</v>
      </c>
      <c r="C14" s="63">
        <v>107.22</v>
      </c>
      <c r="D14" s="54">
        <f>IF(106012.80383="","-",106012.80383/528166.929*100)</f>
        <v>20.07183676394097</v>
      </c>
      <c r="E14" s="54">
        <f>IF(113669.33643="","-",113669.33643/678228.23986*100)</f>
        <v>16.75974690370658</v>
      </c>
    </row>
    <row r="15" spans="1:5" ht="15.75">
      <c r="A15" s="52" t="s">
        <v>229</v>
      </c>
      <c r="B15" s="55">
        <f>IF(681.15632="","-",681.15632)</f>
        <v>681.15632</v>
      </c>
      <c r="C15" s="59" t="s">
        <v>198</v>
      </c>
      <c r="D15" s="55">
        <f>IF(225.97206="","-",225.97206/528166.929*100)</f>
        <v>0.0427842122618018</v>
      </c>
      <c r="E15" s="55">
        <f>IF(681.15632="","-",681.15632/678228.23986*100)</f>
        <v>0.10043172489258255</v>
      </c>
    </row>
    <row r="16" spans="1:5" ht="15.75">
      <c r="A16" s="52" t="s">
        <v>230</v>
      </c>
      <c r="B16" s="55">
        <f>IF(2734.84951="","-",2734.84951)</f>
        <v>2734.84951</v>
      </c>
      <c r="C16" s="59">
        <v>84.34</v>
      </c>
      <c r="D16" s="55">
        <f>IF(3242.73472="","-",3242.73472/528166.929*100)</f>
        <v>0.6139601974208423</v>
      </c>
      <c r="E16" s="55">
        <f>IF(2734.84951="","-",2734.84951/678228.23986*100)</f>
        <v>0.4032343906181978</v>
      </c>
    </row>
    <row r="17" spans="1:5" ht="15.75">
      <c r="A17" s="52" t="s">
        <v>231</v>
      </c>
      <c r="B17" s="55">
        <f>IF(107302.22834="","-",107302.22834)</f>
        <v>107302.22834</v>
      </c>
      <c r="C17" s="59">
        <v>106.27</v>
      </c>
      <c r="D17" s="55">
        <f>IF(100970.82883="","-",100970.82883/528166.929*100)</f>
        <v>19.117219062006058</v>
      </c>
      <c r="E17" s="55">
        <f>IF(107302.22834="","-",107302.22834/678228.23986*100)</f>
        <v>15.820961445390324</v>
      </c>
    </row>
    <row r="18" spans="1:5" ht="15.75">
      <c r="A18" s="52" t="s">
        <v>232</v>
      </c>
      <c r="B18" s="55">
        <f>IF(2943.07157="","-",2943.07157)</f>
        <v>2943.07157</v>
      </c>
      <c r="C18" s="59" t="s">
        <v>202</v>
      </c>
      <c r="D18" s="55">
        <f>IF(1532.53928="","-",1532.53928/528166.929*100)</f>
        <v>0.2901619158362715</v>
      </c>
      <c r="E18" s="55">
        <f>IF(2943.07157="","-",2943.07157/678228.23986*100)</f>
        <v>0.43393527385523045</v>
      </c>
    </row>
    <row r="19" spans="1:5" ht="15.75">
      <c r="A19" s="52" t="s">
        <v>236</v>
      </c>
      <c r="B19" s="55">
        <f>IF(5.99383="","-",5.99383)</f>
        <v>5.99383</v>
      </c>
      <c r="C19" s="59">
        <v>15.32</v>
      </c>
      <c r="D19" s="55">
        <f>IF(39.11593="","-",39.11593/528166.929*100)</f>
        <v>0.0074059786503596105</v>
      </c>
      <c r="E19" s="55">
        <f>IF(5.99383="","-",5.99383/678228.23986*100)</f>
        <v>0.0008837482203980842</v>
      </c>
    </row>
    <row r="20" spans="1:5" ht="15.75">
      <c r="A20" s="52" t="s">
        <v>237</v>
      </c>
      <c r="B20" s="55">
        <f>IF(2.03686="","-",2.03686)</f>
        <v>2.03686</v>
      </c>
      <c r="C20" s="59">
        <v>126.28</v>
      </c>
      <c r="D20" s="55">
        <f>IF(1.61301="","-",1.61301/528166.929*100)</f>
        <v>0.0003053977656370833</v>
      </c>
      <c r="E20" s="55">
        <f>IF(2.03686="","-",2.03686/678228.23986*100)</f>
        <v>0.0003003207298505366</v>
      </c>
    </row>
    <row r="21" spans="1:5" ht="15.75">
      <c r="A21" s="51" t="s">
        <v>235</v>
      </c>
      <c r="B21" s="54">
        <f>IF(454658.46394="","-",454658.46394)</f>
        <v>454658.46394</v>
      </c>
      <c r="C21" s="63">
        <v>135.46</v>
      </c>
      <c r="D21" s="54">
        <f>IF(335633.9327="","-",335633.9327/528166.929*100)</f>
        <v>63.54694212594292</v>
      </c>
      <c r="E21" s="54">
        <f>IF(454658.46394="","-",454658.46394/678228.23986*100)</f>
        <v>67.03620362871511</v>
      </c>
    </row>
    <row r="22" spans="1:5" ht="15.75">
      <c r="A22" s="52" t="s">
        <v>229</v>
      </c>
      <c r="B22" s="55">
        <f>IF(32127.4627="","-",32127.4627)</f>
        <v>32127.4627</v>
      </c>
      <c r="C22" s="59" t="s">
        <v>199</v>
      </c>
      <c r="D22" s="55">
        <f>IF(17850.10152="","-",17850.10152/528166.929*100)</f>
        <v>3.379632563098247</v>
      </c>
      <c r="E22" s="55">
        <f>IF(32127.4627="","-",32127.4627/678228.23986*100)</f>
        <v>4.736969181146417</v>
      </c>
    </row>
    <row r="23" spans="1:11" ht="15.75">
      <c r="A23" s="52" t="s">
        <v>230</v>
      </c>
      <c r="B23" s="55">
        <f>IF(9554.61868="","-",9554.61868)</f>
        <v>9554.61868</v>
      </c>
      <c r="C23" s="59" t="s">
        <v>269</v>
      </c>
      <c r="D23" s="55">
        <f>IF(2848.06857="","-",2848.06857/528166.929*100)</f>
        <v>0.5392364446960669</v>
      </c>
      <c r="E23" s="55">
        <f>IF(9554.61868="","-",9554.61868/678228.23986*100)</f>
        <v>1.4087615523016654</v>
      </c>
      <c r="K23" s="50"/>
    </row>
    <row r="24" spans="1:5" ht="15.75">
      <c r="A24" s="52" t="s">
        <v>231</v>
      </c>
      <c r="B24" s="55">
        <f>IF(411784.98992="","-",411784.98992)</f>
        <v>411784.98992</v>
      </c>
      <c r="C24" s="59">
        <v>131.19</v>
      </c>
      <c r="D24" s="55">
        <f>IF(313894.91877="","-",313894.91877/528166.929*100)</f>
        <v>59.431005906467874</v>
      </c>
      <c r="E24" s="55">
        <f>IF(411784.98992="","-",411784.98992/678228.23986*100)</f>
        <v>60.71481040143666</v>
      </c>
    </row>
    <row r="25" spans="1:5" ht="15.75">
      <c r="A25" s="52" t="s">
        <v>232</v>
      </c>
      <c r="B25" s="55">
        <f>IF(1070.83567="","-",1070.83567)</f>
        <v>1070.83567</v>
      </c>
      <c r="C25" s="59">
        <v>118.85</v>
      </c>
      <c r="D25" s="55">
        <f>IF(900.96197="","-",900.96197/528166.929*100)</f>
        <v>0.17058280640664647</v>
      </c>
      <c r="E25" s="55">
        <f>IF(1070.83567="","-",1070.83567/678228.23986*100)</f>
        <v>0.1578872136349029</v>
      </c>
    </row>
    <row r="26" spans="1:5" ht="15.75">
      <c r="A26" s="52" t="s">
        <v>236</v>
      </c>
      <c r="B26" s="55">
        <f>IF(120.55697="","-",120.55697)</f>
        <v>120.55697</v>
      </c>
      <c r="C26" s="59" t="s">
        <v>201</v>
      </c>
      <c r="D26" s="55">
        <f>IF(74.62221="","-",74.62221/528166.929*100)</f>
        <v>0.014128527536035865</v>
      </c>
      <c r="E26" s="55">
        <f>IF(120.55697="","-",120.55697/678228.23986*100)</f>
        <v>0.017775280195481892</v>
      </c>
    </row>
    <row r="27" spans="1:5" ht="15.75">
      <c r="A27" s="51" t="s">
        <v>233</v>
      </c>
      <c r="B27" s="54">
        <f>IF(109900.43949="","-",109900.43949)</f>
        <v>109900.43949</v>
      </c>
      <c r="C27" s="63">
        <v>127.02</v>
      </c>
      <c r="D27" s="54">
        <f>IF(86520.19247="","-",86520.19247/528166.929*100)</f>
        <v>16.381221110116115</v>
      </c>
      <c r="E27" s="54">
        <f>IF(109900.43949="","-",109900.43949/678228.23986*100)</f>
        <v>16.2040494675783</v>
      </c>
    </row>
    <row r="28" spans="1:5" ht="15.75">
      <c r="A28" s="52" t="s">
        <v>229</v>
      </c>
      <c r="B28" s="55">
        <f>IF(18539.90159="","-",18539.90159)</f>
        <v>18539.90159</v>
      </c>
      <c r="C28" s="59">
        <v>82.38</v>
      </c>
      <c r="D28" s="55">
        <f>IF(22505.23713="","-",22505.23713/528166.929*100)</f>
        <v>4.261008384718461</v>
      </c>
      <c r="E28" s="55">
        <f>IF(18539.90159="","-",18539.90159/678228.23986*100)</f>
        <v>2.73357853601422</v>
      </c>
    </row>
    <row r="29" spans="1:5" ht="15.75">
      <c r="A29" s="52" t="s">
        <v>230</v>
      </c>
      <c r="B29" s="55">
        <f>IF(12573.26663="","-",12573.26663)</f>
        <v>12573.26663</v>
      </c>
      <c r="C29" s="59" t="s">
        <v>194</v>
      </c>
      <c r="D29" s="55">
        <f>IF(4079.0142="","-",4079.0142/528166.929*100)</f>
        <v>0.772296404040852</v>
      </c>
      <c r="E29" s="55">
        <f>IF(12573.26663="","-",12573.26663/678228.23986*100)</f>
        <v>1.8538400336434497</v>
      </c>
    </row>
    <row r="30" spans="1:5" ht="15.75">
      <c r="A30" s="52" t="s">
        <v>231</v>
      </c>
      <c r="B30" s="55">
        <f>IF(72996.05673="","-",72996.05673)</f>
        <v>72996.05673</v>
      </c>
      <c r="C30" s="59" t="s">
        <v>200</v>
      </c>
      <c r="D30" s="55">
        <f>IF(44054.6244="","-",44054.6244/528166.929*100)</f>
        <v>8.341041814831234</v>
      </c>
      <c r="E30" s="55">
        <f>IF(72996.05673="","-",72996.05673/678228.23986*100)</f>
        <v>10.762756906888434</v>
      </c>
    </row>
    <row r="31" spans="1:5" ht="15.75">
      <c r="A31" s="52" t="s">
        <v>232</v>
      </c>
      <c r="B31" s="55">
        <f>IF(5654.41895="","-",5654.41895)</f>
        <v>5654.41895</v>
      </c>
      <c r="C31" s="59">
        <v>35.79</v>
      </c>
      <c r="D31" s="55">
        <f>IF(15798.55897="","-",15798.55897/528166.929*100)</f>
        <v>2.9912056402153118</v>
      </c>
      <c r="E31" s="55">
        <f>IF(5654.41895="","-",5654.41895/678228.23986*100)</f>
        <v>0.8337044401405619</v>
      </c>
    </row>
    <row r="32" spans="1:7" ht="15.75">
      <c r="A32" s="52" t="s">
        <v>236</v>
      </c>
      <c r="B32" s="55">
        <f>IF(136.79559="","-",136.79559)</f>
        <v>136.79559</v>
      </c>
      <c r="C32" s="59" t="s">
        <v>200</v>
      </c>
      <c r="D32" s="55">
        <f>IF(82.75777="","-",82.75777/528166.929*100)</f>
        <v>0.015668866310256997</v>
      </c>
      <c r="E32" s="55">
        <f>IF(136.79559="","-",136.79559/678228.23986*100)</f>
        <v>0.02016955089163456</v>
      </c>
      <c r="F32" s="1"/>
      <c r="G32" s="1"/>
    </row>
    <row r="33" spans="1:7" ht="15.75">
      <c r="A33" s="80" t="s">
        <v>26</v>
      </c>
      <c r="B33" s="80"/>
      <c r="C33" s="80"/>
      <c r="D33" s="80"/>
      <c r="E33" s="80"/>
      <c r="F33" s="21"/>
      <c r="G33" s="21"/>
    </row>
  </sheetData>
  <sheetProtection/>
  <mergeCells count="8">
    <mergeCell ref="A33:E33"/>
    <mergeCell ref="A1:E1"/>
    <mergeCell ref="A3:A5"/>
    <mergeCell ref="B3:C3"/>
    <mergeCell ref="D3:E3"/>
    <mergeCell ref="B4:B5"/>
    <mergeCell ref="C4:C5"/>
    <mergeCell ref="D4:E4"/>
  </mergeCells>
  <printOptions/>
  <pageMargins left="0.7874015748031497" right="0.5905511811023623" top="0.3937007874015748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37"/>
  <sheetViews>
    <sheetView zoomScalePageLayoutView="0" workbookViewId="0" topLeftCell="A1">
      <selection activeCell="A1" sqref="A1:E1"/>
    </sheetView>
  </sheetViews>
  <sheetFormatPr defaultColWidth="9.00390625" defaultRowHeight="15.75"/>
  <cols>
    <col min="1" max="1" width="31.375" style="0" customWidth="1"/>
    <col min="2" max="2" width="14.00390625" style="0" customWidth="1"/>
    <col min="3" max="3" width="14.50390625" style="0" customWidth="1"/>
    <col min="4" max="5" width="11.25390625" style="0" customWidth="1"/>
  </cols>
  <sheetData>
    <row r="1" spans="1:5" ht="15.75">
      <c r="A1" s="66" t="s">
        <v>301</v>
      </c>
      <c r="B1" s="66"/>
      <c r="C1" s="66"/>
      <c r="D1" s="66"/>
      <c r="E1" s="66"/>
    </row>
    <row r="2" spans="1:5" ht="15.75">
      <c r="A2" s="16"/>
      <c r="B2" s="16"/>
      <c r="C2" s="16"/>
      <c r="D2" s="16"/>
      <c r="E2" s="16"/>
    </row>
    <row r="3" spans="1:6" ht="19.5" customHeight="1">
      <c r="A3" s="67"/>
      <c r="B3" s="70" t="s">
        <v>248</v>
      </c>
      <c r="C3" s="71"/>
      <c r="D3" s="70" t="s">
        <v>209</v>
      </c>
      <c r="E3" s="87"/>
      <c r="F3" s="1"/>
    </row>
    <row r="4" spans="1:6" ht="21.75" customHeight="1">
      <c r="A4" s="68"/>
      <c r="B4" s="74" t="s">
        <v>302</v>
      </c>
      <c r="C4" s="76" t="s">
        <v>249</v>
      </c>
      <c r="D4" s="78" t="s">
        <v>250</v>
      </c>
      <c r="E4" s="70"/>
      <c r="F4" s="1"/>
    </row>
    <row r="5" spans="1:6" ht="18.75" customHeight="1">
      <c r="A5" s="69"/>
      <c r="B5" s="75"/>
      <c r="C5" s="77"/>
      <c r="D5" s="48">
        <v>2017</v>
      </c>
      <c r="E5" s="47">
        <v>2018</v>
      </c>
      <c r="F5" s="1"/>
    </row>
    <row r="6" spans="1:5" ht="15.75" customHeight="1">
      <c r="A6" s="30" t="s">
        <v>27</v>
      </c>
      <c r="B6" s="56">
        <f>IF(1326198.65303="","-",1326198.65303)</f>
        <v>1326198.65303</v>
      </c>
      <c r="C6" s="57">
        <v>128.67</v>
      </c>
      <c r="D6" s="56">
        <v>100</v>
      </c>
      <c r="E6" s="56">
        <v>100</v>
      </c>
    </row>
    <row r="7" spans="1:5" ht="15.75" customHeight="1">
      <c r="A7" s="8" t="s">
        <v>29</v>
      </c>
      <c r="B7" s="56"/>
      <c r="C7" s="58"/>
      <c r="D7" s="56"/>
      <c r="E7" s="56"/>
    </row>
    <row r="8" spans="1:5" ht="15.75" customHeight="1">
      <c r="A8" s="52" t="s">
        <v>229</v>
      </c>
      <c r="B8" s="55">
        <f>IF(35497.40366="","-",35497.40366)</f>
        <v>35497.40366</v>
      </c>
      <c r="C8" s="59">
        <v>132.2</v>
      </c>
      <c r="D8" s="55">
        <f>IF(26851.51723="","-",26851.51723/1030698.33623*100)</f>
        <v>2.6051771198365543</v>
      </c>
      <c r="E8" s="55">
        <f>IF(35497.40366="","-",35497.40366/1326198.65303*100)</f>
        <v>2.676627937971297</v>
      </c>
    </row>
    <row r="9" spans="1:5" ht="15.75" customHeight="1">
      <c r="A9" s="52" t="s">
        <v>230</v>
      </c>
      <c r="B9" s="55">
        <f>IF(75898.30304="","-",75898.30304)</f>
        <v>75898.30304</v>
      </c>
      <c r="C9" s="59">
        <v>117.32</v>
      </c>
      <c r="D9" s="55">
        <f>IF(64694.83736="","-",64694.83736/1030698.33623*100)</f>
        <v>6.276796525803585</v>
      </c>
      <c r="E9" s="55">
        <f>IF(75898.30304="","-",75898.30304/1326198.65303*100)</f>
        <v>5.722996541022962</v>
      </c>
    </row>
    <row r="10" spans="1:5" ht="15.75" customHeight="1">
      <c r="A10" s="52" t="s">
        <v>231</v>
      </c>
      <c r="B10" s="55">
        <f>IF(1063415.53285="","-",1063415.53285)</f>
        <v>1063415.53285</v>
      </c>
      <c r="C10" s="59">
        <v>127.6</v>
      </c>
      <c r="D10" s="55">
        <f>IF(833384.62109="","-",833384.62109/1030698.33623*100)</f>
        <v>80.8563079803042</v>
      </c>
      <c r="E10" s="55">
        <f>IF(1063415.53285="","-",1063415.53285/1326198.65303*100)</f>
        <v>80.18523698696175</v>
      </c>
    </row>
    <row r="11" spans="1:5" ht="15.75" customHeight="1">
      <c r="A11" s="52" t="s">
        <v>232</v>
      </c>
      <c r="B11" s="55">
        <f>IF(34557.80601="","-",34557.80601)</f>
        <v>34557.80601</v>
      </c>
      <c r="C11" s="59">
        <v>127.42</v>
      </c>
      <c r="D11" s="55">
        <f>IF(27120.76067="","-",27120.76067/1030698.33623*100)</f>
        <v>2.631299548731202</v>
      </c>
      <c r="E11" s="55">
        <f>IF(34557.80601="","-",34557.80601/1326198.65303*100)</f>
        <v>2.605779000834068</v>
      </c>
    </row>
    <row r="12" spans="1:5" ht="15.75" customHeight="1">
      <c r="A12" s="52" t="s">
        <v>236</v>
      </c>
      <c r="B12" s="55">
        <f>IF(3587.62108="","-",3587.62108)</f>
        <v>3587.62108</v>
      </c>
      <c r="C12" s="59">
        <v>130.4</v>
      </c>
      <c r="D12" s="55">
        <f>IF(2751.14359="","-",2751.14359/1030698.33623*100)</f>
        <v>0.266920348398242</v>
      </c>
      <c r="E12" s="55">
        <f>IF(3587.62108="","-",3587.62108/1326198.65303*100)</f>
        <v>0.2705191316401408</v>
      </c>
    </row>
    <row r="13" spans="1:5" ht="15.75" customHeight="1">
      <c r="A13" s="52" t="s">
        <v>237</v>
      </c>
      <c r="B13" s="55">
        <f>IF(105209.37631="","-",105209.37631)</f>
        <v>105209.37631</v>
      </c>
      <c r="C13" s="59">
        <v>150.45</v>
      </c>
      <c r="D13" s="55">
        <f>IF(69929.93578="","-",69929.93578/1030698.33623*100)</f>
        <v>6.784714142043125</v>
      </c>
      <c r="E13" s="55">
        <f>IF(105209.37631="","-",105209.37631/1326198.65303*100)</f>
        <v>7.933153609349961</v>
      </c>
    </row>
    <row r="14" spans="1:5" ht="15.75" customHeight="1">
      <c r="A14" s="52" t="s">
        <v>238</v>
      </c>
      <c r="B14" s="55">
        <f>IF(8032.61008="","-",8032.61008)</f>
        <v>8032.61008</v>
      </c>
      <c r="C14" s="59">
        <v>134.65</v>
      </c>
      <c r="D14" s="55">
        <f>IF(5965.52051="","-",5965.52051/1030698.33623*100)</f>
        <v>0.5787843348831017</v>
      </c>
      <c r="E14" s="55">
        <f>IF(8032.61008="","-",8032.61008/1326198.65303*100)</f>
        <v>0.60568679221983</v>
      </c>
    </row>
    <row r="15" spans="1:5" ht="15.75">
      <c r="A15" s="51" t="s">
        <v>234</v>
      </c>
      <c r="B15" s="54">
        <f>IF(332558.08963="","-",332558.08963)</f>
        <v>332558.08963</v>
      </c>
      <c r="C15" s="60">
        <v>122.53</v>
      </c>
      <c r="D15" s="54">
        <f>IF(271399.44562="","-",271399.44562/1030698.33623*100)</f>
        <v>26.331608005956586</v>
      </c>
      <c r="E15" s="54">
        <f>IF(332558.08963="","-",332558.08963/1326198.65303*100)</f>
        <v>25.076038862669332</v>
      </c>
    </row>
    <row r="16" spans="1:5" ht="15.75">
      <c r="A16" s="52" t="s">
        <v>229</v>
      </c>
      <c r="B16" s="55">
        <f>IF(8773.52269="","-",8773.52269)</f>
        <v>8773.52269</v>
      </c>
      <c r="C16" s="61">
        <v>56.46</v>
      </c>
      <c r="D16" s="55">
        <f>IF(15538.38477="","-",15538.38477/1030698.33623*100)</f>
        <v>1.5075589261970648</v>
      </c>
      <c r="E16" s="55">
        <f>IF(8773.52269="","-",8773.52269/1326198.65303*100)</f>
        <v>0.6615541849597651</v>
      </c>
    </row>
    <row r="17" spans="1:5" ht="15.75">
      <c r="A17" s="52" t="s">
        <v>230</v>
      </c>
      <c r="B17" s="55">
        <f>IF(62635.8814="","-",62635.8814)</f>
        <v>62635.8814</v>
      </c>
      <c r="C17" s="61">
        <v>113.89</v>
      </c>
      <c r="D17" s="55">
        <f>IF(54998.81694="","-",54998.81694/1030698.33623*100)</f>
        <v>5.336073126999501</v>
      </c>
      <c r="E17" s="55">
        <f>IF(62635.8814="","-",62635.8814/1326198.65303*100)</f>
        <v>4.7229637322353035</v>
      </c>
    </row>
    <row r="18" spans="1:5" ht="15.75">
      <c r="A18" s="52" t="s">
        <v>231</v>
      </c>
      <c r="B18" s="55">
        <f>IF(152596.14751="","-",152596.14751)</f>
        <v>152596.14751</v>
      </c>
      <c r="C18" s="61">
        <v>119.48</v>
      </c>
      <c r="D18" s="55">
        <f>IF(127715.18613="","-",127715.18613/1030698.33623*100)</f>
        <v>12.391131492182831</v>
      </c>
      <c r="E18" s="55">
        <f>IF(152596.14751="","-",152596.14751/1326198.65303*100)</f>
        <v>11.506281292124653</v>
      </c>
    </row>
    <row r="19" spans="1:5" ht="15.75">
      <c r="A19" s="52" t="s">
        <v>232</v>
      </c>
      <c r="B19" s="55">
        <f>IF(3022.16452="","-",3022.16452)</f>
        <v>3022.16452</v>
      </c>
      <c r="C19" s="61">
        <v>113.12</v>
      </c>
      <c r="D19" s="55">
        <f>IF(2671.68067="","-",2671.68067/1030698.33623*100)</f>
        <v>0.2592107288901081</v>
      </c>
      <c r="E19" s="55">
        <f>IF(3022.16452="","-",3022.16452/1326198.65303*100)</f>
        <v>0.2278817365026863</v>
      </c>
    </row>
    <row r="20" spans="1:5" ht="15.75">
      <c r="A20" s="52" t="s">
        <v>236</v>
      </c>
      <c r="B20" s="55">
        <f>IF(79.36932="","-",79.36932)</f>
        <v>79.36932</v>
      </c>
      <c r="C20" s="61">
        <v>29.93</v>
      </c>
      <c r="D20" s="55">
        <f>IF(265.16111="","-",265.16111/1030698.33623*100)</f>
        <v>0.02572635471304665</v>
      </c>
      <c r="E20" s="55">
        <f>IF(79.36932="","-",79.36932/1326198.65303*100)</f>
        <v>0.005984723315670914</v>
      </c>
    </row>
    <row r="21" spans="1:5" ht="15.75">
      <c r="A21" s="52" t="s">
        <v>237</v>
      </c>
      <c r="B21" s="55">
        <f>IF(105209.37631="","-",105209.37631)</f>
        <v>105209.37631</v>
      </c>
      <c r="C21" s="61">
        <v>150.45</v>
      </c>
      <c r="D21" s="55">
        <f>IF(69929.93578="","-",69929.93578/1030698.33623*100)</f>
        <v>6.784714142043125</v>
      </c>
      <c r="E21" s="55">
        <f>IF(105209.37631="","-",105209.37631/1326198.65303*100)</f>
        <v>7.933153609349961</v>
      </c>
    </row>
    <row r="22" spans="1:5" ht="15.75">
      <c r="A22" s="52" t="s">
        <v>238</v>
      </c>
      <c r="B22" s="55">
        <f>IF(241.62788="","-",241.62788)</f>
        <v>241.62788</v>
      </c>
      <c r="C22" s="61">
        <v>86.21</v>
      </c>
      <c r="D22" s="55">
        <f>IF(280.28022="","-",280.28022/1030698.33623*100)</f>
        <v>0.027193234930909554</v>
      </c>
      <c r="E22" s="55">
        <f>IF(241.62788="","-",241.62788/1326198.65303*100)</f>
        <v>0.01821958418129491</v>
      </c>
    </row>
    <row r="23" spans="1:5" ht="15.75">
      <c r="A23" s="51" t="s">
        <v>235</v>
      </c>
      <c r="B23" s="54">
        <f>IF(643870.98584="","-",643870.98584)</f>
        <v>643870.98584</v>
      </c>
      <c r="C23" s="60">
        <v>131.21</v>
      </c>
      <c r="D23" s="54">
        <f>IF(490719.00193="","-",490719.00193/1030698.33623*100)</f>
        <v>47.6103419090507</v>
      </c>
      <c r="E23" s="54">
        <f>IF(643870.98584="","-",643870.98584/1326198.65303*100)</f>
        <v>48.5501161058286</v>
      </c>
    </row>
    <row r="24" spans="1:5" ht="15.75">
      <c r="A24" s="52" t="s">
        <v>229</v>
      </c>
      <c r="B24" s="55">
        <f>IF(15486.5692="","-",15486.5692)</f>
        <v>15486.5692</v>
      </c>
      <c r="C24" s="61" t="s">
        <v>201</v>
      </c>
      <c r="D24" s="55">
        <f>IF(9617.76401="","-",9617.76401/1030698.33623*100)</f>
        <v>0.933130836824578</v>
      </c>
      <c r="E24" s="55">
        <f>IF(15486.5692="","-",15486.5692/1326198.65303*100)</f>
        <v>1.167741285562117</v>
      </c>
    </row>
    <row r="25" spans="1:5" ht="15.75">
      <c r="A25" s="52" t="s">
        <v>230</v>
      </c>
      <c r="B25" s="55">
        <f>IF(12934.63188="","-",12934.63188)</f>
        <v>12934.63188</v>
      </c>
      <c r="C25" s="61">
        <v>139.34</v>
      </c>
      <c r="D25" s="55">
        <f>IF(9282.81993="","-",9282.81993/1030698.33623*100)</f>
        <v>0.9006340268243667</v>
      </c>
      <c r="E25" s="55">
        <f>IF(12934.63188="","-",12934.63188/1326198.65303*100)</f>
        <v>0.9753163185958542</v>
      </c>
    </row>
    <row r="26" spans="1:5" ht="15.75">
      <c r="A26" s="52" t="s">
        <v>231</v>
      </c>
      <c r="B26" s="55">
        <f>IF(597385.91929="","-",597385.91929)</f>
        <v>597385.91929</v>
      </c>
      <c r="C26" s="61">
        <v>130.27</v>
      </c>
      <c r="D26" s="55">
        <f>IF(458575.00997="","-",458575.00997/1030698.33623*100)</f>
        <v>44.49168043167086</v>
      </c>
      <c r="E26" s="55">
        <f>IF(597385.91929="","-",597385.91929/1326198.65303*100)</f>
        <v>45.044980095940915</v>
      </c>
    </row>
    <row r="27" spans="1:5" ht="15.75">
      <c r="A27" s="52" t="s">
        <v>232</v>
      </c>
      <c r="B27" s="55">
        <f>IF(9551.14845="","-",9551.14845)</f>
        <v>9551.14845</v>
      </c>
      <c r="C27" s="61">
        <v>144.59</v>
      </c>
      <c r="D27" s="55">
        <f>IF(6605.49966="","-",6605.49966/1030698.33623*100)</f>
        <v>0.6408761349281916</v>
      </c>
      <c r="E27" s="55">
        <f>IF(9551.14845="","-",9551.14845/1326198.65303*100)</f>
        <v>0.7201898771483629</v>
      </c>
    </row>
    <row r="28" spans="1:5" ht="15.75">
      <c r="A28" s="52" t="s">
        <v>236</v>
      </c>
      <c r="B28" s="55">
        <f>IF(1461.85421="","-",1461.85421)</f>
        <v>1461.85421</v>
      </c>
      <c r="C28" s="61">
        <v>137.98</v>
      </c>
      <c r="D28" s="55">
        <f>IF(1059.44692="","-",1059.44692/1030698.33623*100)</f>
        <v>0.10278923354772787</v>
      </c>
      <c r="E28" s="55">
        <f>IF(1461.85421="","-",1461.85421/1326198.65303*100)</f>
        <v>0.11022890173052614</v>
      </c>
    </row>
    <row r="29" spans="1:5" ht="15.75">
      <c r="A29" s="52" t="s">
        <v>238</v>
      </c>
      <c r="B29" s="55">
        <f>IF(7050.86281="","-",7050.86281)</f>
        <v>7050.86281</v>
      </c>
      <c r="C29" s="61">
        <v>126.39</v>
      </c>
      <c r="D29" s="55">
        <f>IF(5578.46144="","-",5578.46144/1030698.33623*100)</f>
        <v>0.541231245254981</v>
      </c>
      <c r="E29" s="55">
        <f>IF(7050.86281="","-",7050.86281/1326198.65303*100)</f>
        <v>0.5316596268508276</v>
      </c>
    </row>
    <row r="30" spans="1:5" ht="15.75">
      <c r="A30" s="51" t="s">
        <v>233</v>
      </c>
      <c r="B30" s="54">
        <f>IF(349769.57756="","-",349769.57756)</f>
        <v>349769.57756</v>
      </c>
      <c r="C30" s="60">
        <v>130.23</v>
      </c>
      <c r="D30" s="54">
        <f>IF(268579.88868="","-",268579.88868/1030698.33623*100)</f>
        <v>26.05805008499271</v>
      </c>
      <c r="E30" s="54">
        <f>IF(349769.57756="","-",349769.57756/1326198.65303*100)</f>
        <v>26.373845031502068</v>
      </c>
    </row>
    <row r="31" spans="1:5" ht="15.75">
      <c r="A31" s="52" t="s">
        <v>229</v>
      </c>
      <c r="B31" s="55">
        <f>IF(11237.31177="","-",11237.31177)</f>
        <v>11237.31177</v>
      </c>
      <c r="C31" s="61" t="s">
        <v>291</v>
      </c>
      <c r="D31" s="55">
        <f>IF(1695.36845="","-",1695.36845/1030698.33623*100)</f>
        <v>0.16448735681491186</v>
      </c>
      <c r="E31" s="55">
        <f>IF(11237.31177="","-",11237.31177/1326198.65303*100)</f>
        <v>0.8473324674494147</v>
      </c>
    </row>
    <row r="32" spans="1:5" ht="15.75">
      <c r="A32" s="52" t="s">
        <v>230</v>
      </c>
      <c r="B32" s="55">
        <f>IF(327.78976="","-",327.78976)</f>
        <v>327.78976</v>
      </c>
      <c r="C32" s="61">
        <v>79.33</v>
      </c>
      <c r="D32" s="55">
        <f>IF(413.20049="","-",413.20049/1030698.33623*100)</f>
        <v>0.040089371979717105</v>
      </c>
      <c r="E32" s="55">
        <f>IF(327.78976="","-",327.78976/1326198.65303*100)</f>
        <v>0.02471649019180425</v>
      </c>
    </row>
    <row r="33" spans="1:5" ht="15.75">
      <c r="A33" s="52" t="s">
        <v>231</v>
      </c>
      <c r="B33" s="55">
        <f>IF(313433.46605="","-",313433.46605)</f>
        <v>313433.46605</v>
      </c>
      <c r="C33" s="61">
        <v>126.85</v>
      </c>
      <c r="D33" s="55">
        <f>IF(247094.42499="","-",247094.42499/1030698.33623*100)</f>
        <v>23.973496056450504</v>
      </c>
      <c r="E33" s="55">
        <f>IF(313433.46605="","-",313433.46605/1326198.65303*100)</f>
        <v>23.63397559889618</v>
      </c>
    </row>
    <row r="34" spans="1:5" ht="15.75">
      <c r="A34" s="52" t="s">
        <v>232</v>
      </c>
      <c r="B34" s="55">
        <f>IF(21984.49304="","-",21984.49304)</f>
        <v>21984.49304</v>
      </c>
      <c r="C34" s="61">
        <v>123.21</v>
      </c>
      <c r="D34" s="55">
        <f>IF(17843.58034="","-",17843.58034/1030698.33623*100)</f>
        <v>1.7312126849129028</v>
      </c>
      <c r="E34" s="55">
        <f>IF(21984.49304="","-",21984.49304/1326198.65303*100)</f>
        <v>1.6577073871830188</v>
      </c>
    </row>
    <row r="35" spans="1:7" ht="15.75">
      <c r="A35" s="52" t="s">
        <v>236</v>
      </c>
      <c r="B35" s="55">
        <f>IF(2046.39755="","-",2046.39755)</f>
        <v>2046.39755</v>
      </c>
      <c r="C35" s="61">
        <v>143.45</v>
      </c>
      <c r="D35" s="55">
        <f>IF(1426.53556="","-",1426.53556/1030698.33623*100)</f>
        <v>0.1384047601374675</v>
      </c>
      <c r="E35" s="55">
        <f>IF(2046.39755="","-",2046.39755/1326198.65303*100)</f>
        <v>0.15430550659394376</v>
      </c>
      <c r="F35" s="1"/>
      <c r="G35" s="1"/>
    </row>
    <row r="36" spans="1:7" ht="15.75">
      <c r="A36" s="52" t="s">
        <v>238</v>
      </c>
      <c r="B36" s="55">
        <f>IF(740.11939="","-",740.11939)</f>
        <v>740.11939</v>
      </c>
      <c r="C36" s="61" t="s">
        <v>292</v>
      </c>
      <c r="D36" s="55">
        <f>IF(106.77885="","-",106.77885/1030698.33623*100)</f>
        <v>0.01035985469721107</v>
      </c>
      <c r="E36" s="55">
        <f>IF(740.11939="","-",740.11939/1326198.65303*100)</f>
        <v>0.055807581187707456</v>
      </c>
      <c r="F36" s="1"/>
      <c r="G36" s="1"/>
    </row>
    <row r="37" spans="1:7" ht="15.75">
      <c r="A37" s="80" t="s">
        <v>26</v>
      </c>
      <c r="B37" s="80"/>
      <c r="C37" s="80"/>
      <c r="D37" s="80"/>
      <c r="E37" s="80"/>
      <c r="F37" s="21"/>
      <c r="G37" s="21"/>
    </row>
  </sheetData>
  <sheetProtection/>
  <mergeCells count="8">
    <mergeCell ref="A37:E37"/>
    <mergeCell ref="A1:E1"/>
    <mergeCell ref="A3:A5"/>
    <mergeCell ref="B3:C3"/>
    <mergeCell ref="D3:E3"/>
    <mergeCell ref="B4:B5"/>
    <mergeCell ref="C4:C5"/>
    <mergeCell ref="D4:E4"/>
  </mergeCells>
  <printOptions/>
  <pageMargins left="0.7874015748031497" right="0.5905511811023623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74"/>
  <sheetViews>
    <sheetView zoomScalePageLayoutView="0" workbookViewId="0" topLeftCell="A1">
      <selection activeCell="A1" sqref="A1:G1"/>
    </sheetView>
  </sheetViews>
  <sheetFormatPr defaultColWidth="9.00390625" defaultRowHeight="15.75"/>
  <cols>
    <col min="1" max="1" width="28.125" style="0" customWidth="1"/>
    <col min="2" max="2" width="11.125" style="0" customWidth="1"/>
    <col min="3" max="3" width="10.125" style="0" customWidth="1"/>
    <col min="4" max="4" width="8.625" style="0" customWidth="1"/>
    <col min="5" max="5" width="8.75390625" style="0" customWidth="1"/>
    <col min="6" max="6" width="9.625" style="0" customWidth="1"/>
    <col min="7" max="7" width="9.875" style="0" customWidth="1"/>
  </cols>
  <sheetData>
    <row r="1" spans="1:7" ht="15.75">
      <c r="A1" s="79" t="s">
        <v>242</v>
      </c>
      <c r="B1" s="79"/>
      <c r="C1" s="79"/>
      <c r="D1" s="79"/>
      <c r="E1" s="79"/>
      <c r="F1" s="79"/>
      <c r="G1" s="79"/>
    </row>
    <row r="2" spans="1:7" ht="15.75">
      <c r="A2" s="79" t="s">
        <v>31</v>
      </c>
      <c r="B2" s="79"/>
      <c r="C2" s="79"/>
      <c r="D2" s="79"/>
      <c r="E2" s="79"/>
      <c r="F2" s="79"/>
      <c r="G2" s="79"/>
    </row>
    <row r="3" ht="15.75">
      <c r="A3" s="6"/>
    </row>
    <row r="4" spans="1:7" ht="57" customHeight="1">
      <c r="A4" s="89"/>
      <c r="B4" s="92" t="s">
        <v>248</v>
      </c>
      <c r="C4" s="86"/>
      <c r="D4" s="92" t="s">
        <v>0</v>
      </c>
      <c r="E4" s="86"/>
      <c r="F4" s="83" t="s">
        <v>203</v>
      </c>
      <c r="G4" s="93"/>
    </row>
    <row r="5" spans="1:7" ht="26.25" customHeight="1">
      <c r="A5" s="90"/>
      <c r="B5" s="94" t="s">
        <v>216</v>
      </c>
      <c r="C5" s="81" t="s">
        <v>249</v>
      </c>
      <c r="D5" s="96" t="s">
        <v>250</v>
      </c>
      <c r="E5" s="96"/>
      <c r="F5" s="96" t="s">
        <v>250</v>
      </c>
      <c r="G5" s="92"/>
    </row>
    <row r="6" spans="1:7" ht="26.25" customHeight="1">
      <c r="A6" s="91"/>
      <c r="B6" s="95"/>
      <c r="C6" s="82"/>
      <c r="D6" s="49">
        <v>2017</v>
      </c>
      <c r="E6" s="49">
        <v>2018</v>
      </c>
      <c r="F6" s="49" t="s">
        <v>177</v>
      </c>
      <c r="G6" s="45" t="s">
        <v>215</v>
      </c>
    </row>
    <row r="7" spans="1:7" ht="16.5" customHeight="1">
      <c r="A7" s="7" t="s">
        <v>184</v>
      </c>
      <c r="B7" s="53">
        <f>IF(678228.23986="","-",678228.23986)</f>
        <v>678228.23986</v>
      </c>
      <c r="C7" s="53">
        <f>IF(528166.929="","-",678228.23986/528166.929*100)</f>
        <v>128.41172035214646</v>
      </c>
      <c r="D7" s="53">
        <v>100</v>
      </c>
      <c r="E7" s="53">
        <v>100</v>
      </c>
      <c r="F7" s="53">
        <f>IF(416515.52507="","-",(528166.929-416515.52507)/416515.52507*100)</f>
        <v>26.806060569107427</v>
      </c>
      <c r="G7" s="53">
        <f>IF(528166.929="","-",(678228.23986-528166.929)/528166.929*100)</f>
        <v>28.411720352146464</v>
      </c>
    </row>
    <row r="8" spans="1:7" ht="13.5" customHeight="1">
      <c r="A8" s="8" t="s">
        <v>104</v>
      </c>
      <c r="B8" s="64"/>
      <c r="C8" s="64"/>
      <c r="D8" s="64"/>
      <c r="E8" s="64"/>
      <c r="F8" s="64"/>
      <c r="G8" s="64"/>
    </row>
    <row r="9" spans="1:10" ht="13.5" customHeight="1">
      <c r="A9" s="9" t="s">
        <v>32</v>
      </c>
      <c r="B9" s="54">
        <f>IF(158798.42034="","-",158798.42034)</f>
        <v>158798.42034</v>
      </c>
      <c r="C9" s="54">
        <f>IF(122193.08432="","-",158798.42034/122193.08432*100)</f>
        <v>129.9569621502783</v>
      </c>
      <c r="D9" s="54">
        <f>IF(122193.08432="","-",122193.08432/528166.929*100)</f>
        <v>23.13531529725898</v>
      </c>
      <c r="E9" s="54">
        <f>IF(158798.42034="","-",158798.42034/678228.23986*100)</f>
        <v>23.413713998812437</v>
      </c>
      <c r="F9" s="54">
        <f>IF(416515.52507="","-",(122193.08432-86771.71227)/416515.52507*100)</f>
        <v>8.50421410919726</v>
      </c>
      <c r="G9" s="54">
        <f>IF(528166.929="","-",(158798.42034-122193.08432)/528166.929*100)</f>
        <v>6.930637646947415</v>
      </c>
      <c r="J9" s="29"/>
    </row>
    <row r="10" spans="1:10" s="16" customFormat="1" ht="13.5" customHeight="1">
      <c r="A10" s="14" t="s">
        <v>33</v>
      </c>
      <c r="B10" s="55">
        <f>IF(2741.4327="","-",2741.4327)</f>
        <v>2741.4327</v>
      </c>
      <c r="C10" s="55">
        <f>IF(OR(1966.22145="",2741.4327=""),"-",2741.4327/1966.22145*100)</f>
        <v>139.4264465988813</v>
      </c>
      <c r="D10" s="55">
        <f>IF(1966.22145="","-",1966.22145/528166.929*100)</f>
        <v>0.3722727308433959</v>
      </c>
      <c r="E10" s="55">
        <f>IF(2741.4327="","-",2741.4327/678228.23986*100)</f>
        <v>0.4042050358395408</v>
      </c>
      <c r="F10" s="55">
        <f>IF(OR(416515.52507="",2504.69687="",1966.22145=""),"-",(1966.22145-2504.69687)/416515.52507*100)</f>
        <v>-0.1292809961668304</v>
      </c>
      <c r="G10" s="55">
        <f>IF(OR(528166.929="",2741.4327="",1966.22145=""),"-",(2741.4327-1966.22145)/528166.929*100)</f>
        <v>0.14677390942816865</v>
      </c>
      <c r="J10" s="29"/>
    </row>
    <row r="11" spans="1:10" s="16" customFormat="1" ht="14.25" customHeight="1">
      <c r="A11" s="14" t="s">
        <v>34</v>
      </c>
      <c r="B11" s="55">
        <f>IF(1497.68473="","-",1497.68473)</f>
        <v>1497.68473</v>
      </c>
      <c r="C11" s="55">
        <f>IF(OR(1902.9879="",1497.68473=""),"-",1497.68473/1902.9879*100)</f>
        <v>78.70174739418994</v>
      </c>
      <c r="D11" s="55">
        <f>IF(1902.9879="","-",1902.9879/528166.929*100)</f>
        <v>0.36030046477976285</v>
      </c>
      <c r="E11" s="55">
        <f>IF(1497.68473="","-",1497.68473/678228.23986*100)</f>
        <v>0.22082311557966866</v>
      </c>
      <c r="F11" s="55">
        <f>IF(OR(416515.52507="",869.15584="",1902.9879=""),"-",(1902.9879-869.15584)/416515.52507*100)</f>
        <v>0.24820972995574495</v>
      </c>
      <c r="G11" s="55">
        <f>IF(OR(528166.929="",1497.68473="",1902.9879=""),"-",(1497.68473-1902.9879)/528166.929*100)</f>
        <v>-0.0767377031287016</v>
      </c>
      <c r="J11" s="29"/>
    </row>
    <row r="12" spans="1:10" s="16" customFormat="1" ht="15.75">
      <c r="A12" s="14" t="s">
        <v>35</v>
      </c>
      <c r="B12" s="55">
        <f>IF(4566.4718="","-",4566.4718)</f>
        <v>4566.4718</v>
      </c>
      <c r="C12" s="55">
        <f>IF(OR(4908.92808="",4566.4718=""),"-",4566.4718/4908.92808*100)</f>
        <v>93.02380734818182</v>
      </c>
      <c r="D12" s="55">
        <f>IF(4908.92808="","-",4908.92808/528166.929*100)</f>
        <v>0.9294273856362558</v>
      </c>
      <c r="E12" s="55">
        <f>IF(4566.4718="","-",4566.4718/678228.23986*100)</f>
        <v>0.6732942587207239</v>
      </c>
      <c r="F12" s="55">
        <f>IF(OR(416515.52507="",3174.52993="",4908.92808=""),"-",(4908.92808-3174.52993)/416515.52507*100)</f>
        <v>0.41640660326131057</v>
      </c>
      <c r="G12" s="55">
        <f>IF(OR(528166.929="",4566.4718="",4908.92808=""),"-",(4566.4718-4908.92808)/528166.929*100)</f>
        <v>-0.06483864498074234</v>
      </c>
      <c r="J12" s="29"/>
    </row>
    <row r="13" spans="1:10" s="16" customFormat="1" ht="15.75">
      <c r="A13" s="14" t="s">
        <v>37</v>
      </c>
      <c r="B13" s="55">
        <f>IF(55949.50749="","-",55949.50749)</f>
        <v>55949.50749</v>
      </c>
      <c r="C13" s="55">
        <f>IF(OR(36621.21655="",55949.50749=""),"-",55949.50749/36621.21655*100)</f>
        <v>152.77894281204595</v>
      </c>
      <c r="D13" s="55">
        <f>IF(36621.21655="","-",36621.21655/528166.929*100)</f>
        <v>6.933644372497241</v>
      </c>
      <c r="E13" s="55">
        <f>IF(55949.50749="","-",55949.50749/678228.23986*100)</f>
        <v>8.249362707390231</v>
      </c>
      <c r="F13" s="55">
        <f>IF(OR(416515.52507="",17800.58647="",36621.21655=""),"-",(36621.21655-17800.58647)/416515.52507*100)</f>
        <v>4.5185902918833545</v>
      </c>
      <c r="G13" s="55">
        <f>IF(OR(528166.929="",55949.50749="",36621.21655=""),"-",(55949.50749-36621.21655)/528166.929*100)</f>
        <v>3.659504198150961</v>
      </c>
      <c r="J13" s="29"/>
    </row>
    <row r="14" spans="1:10" s="16" customFormat="1" ht="15" customHeight="1">
      <c r="A14" s="14" t="s">
        <v>38</v>
      </c>
      <c r="B14" s="55">
        <f>IF(77755.98296="","-",77755.98296)</f>
        <v>77755.98296</v>
      </c>
      <c r="C14" s="55">
        <f>IF(OR(58988.05956="",77755.98296=""),"-",77755.98296/58988.05956*100)</f>
        <v>131.8164786907596</v>
      </c>
      <c r="D14" s="55">
        <f>IF(58988.05956="","-",58988.05956/528166.929*100)</f>
        <v>11.168450033720305</v>
      </c>
      <c r="E14" s="55">
        <f>IF(77755.98296="","-",77755.98296/678228.23986*100)</f>
        <v>11.464574665314792</v>
      </c>
      <c r="F14" s="55">
        <f>IF(OR(416515.52507="",47425.71502="",58988.05956=""),"-",(58988.05956-47425.71502)/416515.52507*100)</f>
        <v>2.7759696443624327</v>
      </c>
      <c r="G14" s="55">
        <f>IF(OR(528166.929="",77755.98296="",58988.05956=""),"-",(77755.98296-58988.05956)/528166.929*100)</f>
        <v>3.5534075250667563</v>
      </c>
      <c r="J14" s="29"/>
    </row>
    <row r="15" spans="1:10" s="16" customFormat="1" ht="15.75" customHeight="1">
      <c r="A15" s="14" t="s">
        <v>39</v>
      </c>
      <c r="B15" s="55">
        <f>IF(6006.30688="","-",6006.30688)</f>
        <v>6006.30688</v>
      </c>
      <c r="C15" s="55">
        <f>IF(OR(10016.3151="",6006.30688=""),"-",6006.30688/10016.3151*100)</f>
        <v>59.96523491957636</v>
      </c>
      <c r="D15" s="55">
        <f>IF(10016.3151="","-",10016.3151/528166.929*100)</f>
        <v>1.8964298122497554</v>
      </c>
      <c r="E15" s="55">
        <f>IF(6006.30688="","-",6006.30688/678228.23986*100)</f>
        <v>0.8855878488987459</v>
      </c>
      <c r="F15" s="55">
        <f>IF(OR(416515.52507="",7588.08901="",10016.3151=""),"-",(10016.3151-7588.08901)/416515.52507*100)</f>
        <v>0.5829857337471178</v>
      </c>
      <c r="G15" s="55">
        <f>IF(OR(528166.929="",6006.30688="",10016.3151=""),"-",(6006.30688-10016.3151)/528166.929*100)</f>
        <v>-0.7592312202493087</v>
      </c>
      <c r="J15" s="29"/>
    </row>
    <row r="16" spans="1:10" s="16" customFormat="1" ht="25.5">
      <c r="A16" s="14" t="s">
        <v>40</v>
      </c>
      <c r="B16" s="55">
        <f>IF(2798.84661="","-",2798.84661)</f>
        <v>2798.84661</v>
      </c>
      <c r="C16" s="55">
        <f>IF(OR(2292.6286="",2798.84661=""),"-",2798.84661/2292.6286*100)</f>
        <v>122.08024492061209</v>
      </c>
      <c r="D16" s="55">
        <f>IF(2292.6286="","-",2292.6286/528166.929*100)</f>
        <v>0.4340727285482882</v>
      </c>
      <c r="E16" s="55">
        <f>IF(2798.84661="","-",2798.84661/678228.23986*100)</f>
        <v>0.4126703144324599</v>
      </c>
      <c r="F16" s="55">
        <f>IF(OR(416515.52507="",2000.50522="",2292.6286=""),"-",(2292.6286-2000.50522)/416515.52507*100)</f>
        <v>0.07013505197697145</v>
      </c>
      <c r="G16" s="55">
        <f>IF(OR(528166.929="",2798.84661="",2292.6286=""),"-",(2798.84661-2292.6286)/528166.929*100)</f>
        <v>0.0958443215970457</v>
      </c>
      <c r="J16" s="29"/>
    </row>
    <row r="17" spans="1:10" s="16" customFormat="1" ht="25.5">
      <c r="A17" s="14" t="s">
        <v>41</v>
      </c>
      <c r="B17" s="55">
        <f>IF(7022.11527="","-",7022.11527)</f>
        <v>7022.11527</v>
      </c>
      <c r="C17" s="55">
        <f>IF(OR(4889.70146="",7022.11527=""),"-",7022.11527/4889.70146*100)</f>
        <v>143.61030683456082</v>
      </c>
      <c r="D17" s="55">
        <f>IF(4889.70146="","-",4889.70146/528166.929*100)</f>
        <v>0.9257871312120719</v>
      </c>
      <c r="E17" s="55">
        <f>IF(7022.11527="","-",7022.11527/678228.23986*100)</f>
        <v>1.0353616758054054</v>
      </c>
      <c r="F17" s="55">
        <f>IF(OR(416515.52507="",4957.49675="",4889.70146=""),"-",(4889.70146-4957.49675)/416515.52507*100)</f>
        <v>-0.01627677383420613</v>
      </c>
      <c r="G17" s="55">
        <f>IF(OR(528166.929="",7022.11527="",4889.70146=""),"-",(7022.11527-4889.70146)/528166.929*100)</f>
        <v>0.4037386085564626</v>
      </c>
      <c r="J17" s="29"/>
    </row>
    <row r="18" spans="1:10" s="16" customFormat="1" ht="15.75">
      <c r="A18" s="14" t="s">
        <v>42</v>
      </c>
      <c r="B18" s="55">
        <f>IF(457.01903="","-",457.01903)</f>
        <v>457.01903</v>
      </c>
      <c r="C18" s="55">
        <f>IF(OR(604.90214="",457.01903=""),"-",457.01903/604.90214*100)</f>
        <v>75.55255631927504</v>
      </c>
      <c r="D18" s="55">
        <f>IF(604.90214="","-",604.90214/528166.929*100)</f>
        <v>0.11452859063805565</v>
      </c>
      <c r="E18" s="55">
        <f>IF(457.01903="","-",457.01903/678228.23986*100)</f>
        <v>0.0673842525481301</v>
      </c>
      <c r="F18" s="55">
        <f>IF(OR(416515.52507="",449.17394="",604.90214=""),"-",(604.90214-449.17394)/416515.52507*100)</f>
        <v>0.037388330236628804</v>
      </c>
      <c r="G18" s="55">
        <f>IF(OR(528166.929="",457.01903="",604.90214=""),"-",(457.01903-604.90214)/528166.929*100)</f>
        <v>-0.02799931269456669</v>
      </c>
      <c r="J18" s="29"/>
    </row>
    <row r="19" spans="1:7" s="16" customFormat="1" ht="15.75">
      <c r="A19" s="15" t="s">
        <v>43</v>
      </c>
      <c r="B19" s="54">
        <f>IF(54009.20408="","-",54009.20408)</f>
        <v>54009.20408</v>
      </c>
      <c r="C19" s="54">
        <f>IF(38869.19756="","-",54009.20408/38869.19756*100)</f>
        <v>138.9511682010654</v>
      </c>
      <c r="D19" s="54">
        <f>IF(38869.19756="","-",38869.19756/528166.929*100)</f>
        <v>7.3592637906338885</v>
      </c>
      <c r="E19" s="54">
        <f>IF(54009.20408="","-",54009.20408/678228.23986*100)</f>
        <v>7.963278569932239</v>
      </c>
      <c r="F19" s="54">
        <f>IF(416515.52507="","-",(38869.19756-35550.31032)/416515.52507*100)</f>
        <v>0.796821976669952</v>
      </c>
      <c r="G19" s="54">
        <f>IF(528166.929="","-",(54009.20408-38869.19756)/528166.929*100)</f>
        <v>2.8665192174499063</v>
      </c>
    </row>
    <row r="20" spans="1:7" s="16" customFormat="1" ht="15.75">
      <c r="A20" s="14" t="s">
        <v>44</v>
      </c>
      <c r="B20" s="55">
        <f>IF(48787.6867="","-",48787.6867)</f>
        <v>48787.6867</v>
      </c>
      <c r="C20" s="55">
        <f>IF(OR(35939.40272="",48787.6867=""),"-",48787.6867/35939.40272*100)</f>
        <v>135.74985394192439</v>
      </c>
      <c r="D20" s="55">
        <f>IF(35939.40272="","-",35939.40272/528166.929*100)</f>
        <v>6.804553777731888</v>
      </c>
      <c r="E20" s="55">
        <f>IF(48787.6867="","-",48787.6867/678228.23986*100)</f>
        <v>7.193402431911529</v>
      </c>
      <c r="F20" s="55">
        <f>IF(OR(416515.52507="",32762.83163="",35939.40272=""),"-",(35939.40272-32762.83163)/416515.52507*100)</f>
        <v>0.7626537064773613</v>
      </c>
      <c r="G20" s="55">
        <f>IF(OR(528166.929="",48787.6867="",35939.40272=""),"-",(48787.6867-35939.40272)/528166.929*100)</f>
        <v>2.432618036938848</v>
      </c>
    </row>
    <row r="21" spans="1:7" s="16" customFormat="1" ht="15.75">
      <c r="A21" s="14" t="s">
        <v>45</v>
      </c>
      <c r="B21" s="55">
        <f>IF(5221.51738="","-",5221.51738)</f>
        <v>5221.51738</v>
      </c>
      <c r="C21" s="55" t="s">
        <v>199</v>
      </c>
      <c r="D21" s="55">
        <f>IF(2929.79484="","-",2929.79484/528166.929*100)</f>
        <v>0.5547100129020006</v>
      </c>
      <c r="E21" s="55">
        <f>IF(5221.51738="","-",5221.51738/678228.23986*100)</f>
        <v>0.7698761380207092</v>
      </c>
      <c r="F21" s="55">
        <f>IF(OR(416515.52507="",2787.47869="",2929.79484=""),"-",(2929.79484-2787.47869)/416515.52507*100)</f>
        <v>0.03416827019258942</v>
      </c>
      <c r="G21" s="55">
        <f>IF(OR(528166.929="",5221.51738="",2929.79484=""),"-",(5221.51738-2929.79484)/528166.929*100)</f>
        <v>0.43390118051105775</v>
      </c>
    </row>
    <row r="22" spans="1:7" s="16" customFormat="1" ht="25.5">
      <c r="A22" s="15" t="s">
        <v>46</v>
      </c>
      <c r="B22" s="54">
        <f>IF(83394.13128="","-",83394.13128)</f>
        <v>83394.13128</v>
      </c>
      <c r="C22" s="54">
        <f>IF(66511.71291="","-",83394.13128/66511.71291*100)</f>
        <v>125.38262455042222</v>
      </c>
      <c r="D22" s="54">
        <f>IF(66511.71291="","-",66511.71291/528166.929*100)</f>
        <v>12.592934024841226</v>
      </c>
      <c r="E22" s="54">
        <f>IF(83394.13128="","-",83394.13128/678228.23986*100)</f>
        <v>12.295880115109073</v>
      </c>
      <c r="F22" s="54">
        <f>IF(416515.52507="","-",(66511.71291-42722.71084)/416515.52507*100)</f>
        <v>5.711432260778755</v>
      </c>
      <c r="G22" s="54">
        <f>IF(528166.929="","-",(83394.13128-66511.71291)/528166.929*100)</f>
        <v>3.1964171634078204</v>
      </c>
    </row>
    <row r="23" spans="1:8" s="16" customFormat="1" ht="15.75">
      <c r="A23" s="14" t="s">
        <v>47</v>
      </c>
      <c r="B23" s="55">
        <f>IF(1008.02299="","-",1008.02299)</f>
        <v>1008.02299</v>
      </c>
      <c r="C23" s="55">
        <f>IF(OR(934.32372="",1008.02299=""),"-",1008.02299/934.32372*100)</f>
        <v>107.88798019598605</v>
      </c>
      <c r="D23" s="55">
        <f>IF(934.32372="","-",934.32372/528166.929*100)</f>
        <v>0.1768993226760701</v>
      </c>
      <c r="E23" s="55">
        <f>IF(1008.02299="","-",1008.02299/678228.23986*100)</f>
        <v>0.14862592424757726</v>
      </c>
      <c r="F23" s="55">
        <f>IF(OR(416515.52507="",1006.83987="",934.32372=""),"-",(934.32372-1006.83987)/416515.52507*100)</f>
        <v>-0.017410191369892615</v>
      </c>
      <c r="G23" s="55">
        <f>IF(OR(528166.929="",1008.02299="",934.32372=""),"-",(1008.02299-934.32372)/528166.929*100)</f>
        <v>0.013953783539521852</v>
      </c>
      <c r="H23" s="12"/>
    </row>
    <row r="24" spans="1:8" s="16" customFormat="1" ht="15.75">
      <c r="A24" s="14" t="s">
        <v>48</v>
      </c>
      <c r="B24" s="55">
        <f>IF(73926.14975="","-",73926.14975)</f>
        <v>73926.14975</v>
      </c>
      <c r="C24" s="55">
        <f>IF(OR(57685.46737="",73926.14975=""),"-",73926.14975/57685.46737*100)</f>
        <v>128.1538542035739</v>
      </c>
      <c r="D24" s="55">
        <f>IF(57685.46737="","-",57685.46737/528166.929*100)</f>
        <v>10.921824938796954</v>
      </c>
      <c r="E24" s="55">
        <f>IF(73926.14975="","-",73926.14975/678228.23986*100)</f>
        <v>10.899892603301192</v>
      </c>
      <c r="F24" s="55">
        <f>IF(OR(416515.52507="",36131.68341="",57685.46737=""),"-",(57685.46737-36131.68341)/416515.52507*100)</f>
        <v>5.174785251132633</v>
      </c>
      <c r="G24" s="55">
        <f>IF(OR(528166.929="",73926.14975="",57685.46737=""),"-",(73926.14975-57685.46737)/528166.929*100)</f>
        <v>3.0749146696384693</v>
      </c>
      <c r="H24" s="13"/>
    </row>
    <row r="25" spans="1:8" s="16" customFormat="1" ht="15.75">
      <c r="A25" s="14" t="s">
        <v>50</v>
      </c>
      <c r="B25" s="55">
        <f>IF(138.59612="","-",138.59612)</f>
        <v>138.59612</v>
      </c>
      <c r="C25" s="55" t="s">
        <v>201</v>
      </c>
      <c r="D25" s="55">
        <f>IF(88.73535="","-",88.73535/528166.929*100)</f>
        <v>0.016800625924839</v>
      </c>
      <c r="E25" s="55">
        <f>IF(138.59612="","-",138.59612/678228.23986*100)</f>
        <v>0.020435026419514623</v>
      </c>
      <c r="F25" s="55">
        <f>IF(OR(416515.52507="",523.70075="",88.73535=""),"-",(88.73535-523.70075)/416515.52507*100)</f>
        <v>-0.10442957676713234</v>
      </c>
      <c r="G25" s="55">
        <f>IF(OR(528166.929="",138.59612="",88.73535=""),"-",(138.59612-88.73535)/528166.929*100)</f>
        <v>0.009440343054875368</v>
      </c>
      <c r="H25" s="13"/>
    </row>
    <row r="26" spans="1:8" s="16" customFormat="1" ht="15.75">
      <c r="A26" s="14" t="s">
        <v>51</v>
      </c>
      <c r="B26" s="55">
        <f>IF(719.67759="","-",719.67759)</f>
        <v>719.67759</v>
      </c>
      <c r="C26" s="55">
        <f>IF(OR(614.47671="",719.67759=""),"-",719.67759/614.47671*100)</f>
        <v>117.12040152018129</v>
      </c>
      <c r="D26" s="55">
        <f>IF(614.47671="","-",614.47671/528166.929*100)</f>
        <v>0.11634138304785835</v>
      </c>
      <c r="E26" s="55">
        <f>IF(719.67759="","-",719.67759/678228.23986*100)</f>
        <v>0.1061114161434145</v>
      </c>
      <c r="F26" s="55">
        <f>IF(OR(416515.52507="",568.72784="",614.47671=""),"-",(614.47671-568.72784)/416515.52507*100)</f>
        <v>0.010983713030219321</v>
      </c>
      <c r="G26" s="55">
        <f>IF(OR(528166.929="",719.67759="",614.47671=""),"-",(719.67759-614.47671)/528166.929*100)</f>
        <v>0.01991811191192548</v>
      </c>
      <c r="H26" s="13"/>
    </row>
    <row r="27" spans="1:8" s="16" customFormat="1" ht="38.25">
      <c r="A27" s="14" t="s">
        <v>52</v>
      </c>
      <c r="B27" s="55">
        <f>IF(54.5927="","-",54.5927)</f>
        <v>54.5927</v>
      </c>
      <c r="C27" s="55">
        <f>IF(OR(56.49556="",54.5927=""),"-",54.5927/56.49556*100)</f>
        <v>96.63184151108513</v>
      </c>
      <c r="D27" s="55">
        <f>IF(56.49556="","-",56.49556/528166.929*100)</f>
        <v>0.010696534920686031</v>
      </c>
      <c r="E27" s="55">
        <f>IF(54.5927="","-",54.5927/678228.23986*100)</f>
        <v>0.008049310953384813</v>
      </c>
      <c r="F27" s="55">
        <f>IF(OR(416515.52507="",197.29206="",56.49556=""),"-",(56.49556-197.29206)/416515.52507*100)</f>
        <v>-0.03380342184756201</v>
      </c>
      <c r="G27" s="55">
        <f>IF(OR(528166.929="",54.5927="",56.49556=""),"-",(54.5927-56.49556)/528166.929*100)</f>
        <v>-0.00036027624895083063</v>
      </c>
      <c r="H27" s="13"/>
    </row>
    <row r="28" spans="1:8" s="16" customFormat="1" ht="38.25">
      <c r="A28" s="14" t="s">
        <v>53</v>
      </c>
      <c r="B28" s="55">
        <f>IF(2453.26758="","-",2453.26758)</f>
        <v>2453.26758</v>
      </c>
      <c r="C28" s="55">
        <f>IF(OR(2002.18967="",2453.26758=""),"-",2453.26758/2002.18967*100)</f>
        <v>122.5292297107896</v>
      </c>
      <c r="D28" s="55">
        <f>IF(2002.18967="","-",2002.18967/528166.929*100)</f>
        <v>0.3790827407143471</v>
      </c>
      <c r="E28" s="55">
        <f>IF(2453.26758="","-",2453.26758/678228.23986*100)</f>
        <v>0.36171710875772506</v>
      </c>
      <c r="F28" s="55">
        <f>IF(OR(416515.52507="",1124.09521="",2002.18967=""),"-",(2002.18967-1124.09521)/416515.52507*100)</f>
        <v>0.2108191429004781</v>
      </c>
      <c r="G28" s="55">
        <f>IF(OR(528166.929="",2453.26758="",2002.18967=""),"-",(2453.26758-2002.18967)/528166.929*100)</f>
        <v>0.08540442144949219</v>
      </c>
      <c r="H28" s="13"/>
    </row>
    <row r="29" spans="1:8" s="16" customFormat="1" ht="14.25" customHeight="1">
      <c r="A29" s="14" t="s">
        <v>54</v>
      </c>
      <c r="B29" s="55">
        <f>IF(3666.27813="","-",3666.27813)</f>
        <v>3666.27813</v>
      </c>
      <c r="C29" s="55">
        <f>IF(OR(4197.48616="",3666.27813=""),"-",3666.27813/4197.48616*100)</f>
        <v>87.34461509219128</v>
      </c>
      <c r="D29" s="55">
        <f>IF(4197.48616="","-",4197.48616/528166.929*100)</f>
        <v>0.79472718368552</v>
      </c>
      <c r="E29" s="55">
        <f>IF(3666.27813="","-",3666.27813/678228.23986*100)</f>
        <v>0.5405670118892122</v>
      </c>
      <c r="F29" s="55">
        <f>IF(OR(416515.52507="",2596.2627="",4197.48616=""),"-",(4197.48616-2596.2627)/416515.52507*100)</f>
        <v>0.38443307959070605</v>
      </c>
      <c r="G29" s="55">
        <f>IF(OR(528166.929="",3666.27813="",4197.48616=""),"-",(3666.27813-4197.48616)/528166.929*100)</f>
        <v>-0.10057578406239068</v>
      </c>
      <c r="H29" s="13"/>
    </row>
    <row r="30" spans="1:8" s="16" customFormat="1" ht="25.5">
      <c r="A30" s="14" t="s">
        <v>55</v>
      </c>
      <c r="B30" s="55">
        <f>IF(1427.49894="","-",1427.49894)</f>
        <v>1427.49894</v>
      </c>
      <c r="C30" s="55">
        <f>IF(OR(932.16647="",1427.49894=""),"-",1427.49894/932.16647*100)</f>
        <v>153.1377694801659</v>
      </c>
      <c r="D30" s="55">
        <f>IF(932.16647="","-",932.16647/528166.929*100)</f>
        <v>0.1764908817303099</v>
      </c>
      <c r="E30" s="55">
        <f>IF(1427.49894="","-",1427.49894/678228.23986*100)</f>
        <v>0.21047471280385854</v>
      </c>
      <c r="F30" s="55">
        <f>IF(OR(416515.52507="",574.1058="",932.16647=""),"-",(932.16647-574.1058)/416515.52507*100)</f>
        <v>0.08596574399953615</v>
      </c>
      <c r="G30" s="55">
        <f>IF(OR(528166.929="",1427.49894="",932.16647=""),"-",(1427.49894-932.16647)/528166.929*100)</f>
        <v>0.09378331788736434</v>
      </c>
      <c r="H30" s="13"/>
    </row>
    <row r="31" spans="1:8" s="16" customFormat="1" ht="25.5">
      <c r="A31" s="15" t="s">
        <v>56</v>
      </c>
      <c r="B31" s="54">
        <f>IF(3536.63892="","-",3536.63892)</f>
        <v>3536.63892</v>
      </c>
      <c r="C31" s="54">
        <f>IF(3953.80591="","-",3536.63892/3953.80591*100)</f>
        <v>89.44897651791915</v>
      </c>
      <c r="D31" s="54">
        <f>IF(3953.80591="","-",3953.80591/528166.929*100)</f>
        <v>0.748590207547811</v>
      </c>
      <c r="E31" s="54">
        <f>IF(3536.63892="","-",3536.63892/678228.23986*100)</f>
        <v>0.5214526190667074</v>
      </c>
      <c r="F31" s="54">
        <f>IF(416515.52507="","-",(3953.80591-1115.62365)/416515.52507*100)</f>
        <v>0.6814109172816577</v>
      </c>
      <c r="G31" s="54">
        <f>IF(528166.929="","-",(3536.63892-3953.80591)/528166.929*100)</f>
        <v>-0.07898392858292727</v>
      </c>
      <c r="H31" s="13"/>
    </row>
    <row r="32" spans="1:8" s="16" customFormat="1" ht="25.5">
      <c r="A32" s="14" t="s">
        <v>58</v>
      </c>
      <c r="B32" s="55">
        <f>IF(3512.20273="","-",3512.20273)</f>
        <v>3512.20273</v>
      </c>
      <c r="C32" s="55">
        <f>IF(OR(3952.1929="",3512.20273=""),"-",3512.20273/3952.1929*100)</f>
        <v>88.86718889657436</v>
      </c>
      <c r="D32" s="55">
        <f>IF(3952.1929="","-",3952.1929/528166.929*100)</f>
        <v>0.7482848097821739</v>
      </c>
      <c r="E32" s="55">
        <f>IF(3512.20273="","-",3512.20273/678228.23986*100)</f>
        <v>0.5178496741340333</v>
      </c>
      <c r="F32" s="55">
        <f>IF(OR(416515.52507="",1113.78263="",3952.1929=""),"-",(3952.1929-1113.78263)/416515.52507*100)</f>
        <v>0.681465659538855</v>
      </c>
      <c r="G32" s="55">
        <f>IF(OR(528166.929="",3512.20273="",3952.1929=""),"-",(3512.20273-3952.1929)/528166.929*100)</f>
        <v>-0.08330513438867733</v>
      </c>
      <c r="H32" s="13"/>
    </row>
    <row r="33" spans="1:7" s="16" customFormat="1" ht="27" customHeight="1">
      <c r="A33" s="15" t="s">
        <v>61</v>
      </c>
      <c r="B33" s="54">
        <f>IF(24506.84513="","-",24506.84513)</f>
        <v>24506.84513</v>
      </c>
      <c r="C33" s="54" t="s">
        <v>202</v>
      </c>
      <c r="D33" s="54">
        <f>IF(13176.58892="","-",13176.58892/528166.929*100)</f>
        <v>2.4947773509689015</v>
      </c>
      <c r="E33" s="54">
        <f>IF(24506.84513="","-",24506.84513/678228.23986*100)</f>
        <v>3.613362536343032</v>
      </c>
      <c r="F33" s="54">
        <f>IF(416515.52507="","-",(13176.58892-13359.9811)/416515.52507*100)</f>
        <v>-0.044030094669143406</v>
      </c>
      <c r="G33" s="54">
        <f>IF(528166.929="","-",(24506.84513-13176.58892)/528166.929*100)</f>
        <v>2.14520364450914</v>
      </c>
    </row>
    <row r="34" spans="1:7" s="16" customFormat="1" ht="25.5">
      <c r="A34" s="14" t="s">
        <v>63</v>
      </c>
      <c r="B34" s="55">
        <f>IF(24489.35059="","-",24489.35059)</f>
        <v>24489.35059</v>
      </c>
      <c r="C34" s="55" t="s">
        <v>202</v>
      </c>
      <c r="D34" s="55">
        <f>IF(13157.71722="","-",13157.71722/528166.929*100)</f>
        <v>2.4912042949966677</v>
      </c>
      <c r="E34" s="55">
        <f>IF(24489.35059="","-",24489.35059/678228.23986*100)</f>
        <v>3.610783089046114</v>
      </c>
      <c r="F34" s="55">
        <f>IF(OR(416515.52507="",13343.63491="",13157.71722=""),"-",(13157.71722-13343.63491)/416515.52507*100)</f>
        <v>-0.04463643701366347</v>
      </c>
      <c r="G34" s="55">
        <f>IF(OR(528166.929="",24489.35059="",13157.71722=""),"-",(24489.35059-13157.71722)/528166.929*100)</f>
        <v>2.145464387831825</v>
      </c>
    </row>
    <row r="35" spans="1:7" s="16" customFormat="1" ht="25.5">
      <c r="A35" s="15" t="s">
        <v>65</v>
      </c>
      <c r="B35" s="54">
        <f>IF(31972.3443="","-",31972.3443)</f>
        <v>31972.3443</v>
      </c>
      <c r="C35" s="54">
        <f>IF(27048.29503="","-",31972.3443/27048.29503*100)</f>
        <v>118.20465676131751</v>
      </c>
      <c r="D35" s="54">
        <f>IF(27048.29503="","-",27048.29503/528166.929*100)</f>
        <v>5.121164076140026</v>
      </c>
      <c r="E35" s="54">
        <f>IF(31972.3443="","-",31972.3443/678228.23986*100)</f>
        <v>4.714098060352034</v>
      </c>
      <c r="F35" s="54">
        <f>IF(416515.52507="","-",(27048.29503-19661.37882)/416515.52507*100)</f>
        <v>1.773503210656685</v>
      </c>
      <c r="G35" s="54">
        <f>IF(528166.929="","-",(31972.3443-27048.29503)/528166.929*100)</f>
        <v>0.9322903422451881</v>
      </c>
    </row>
    <row r="36" spans="1:7" s="16" customFormat="1" ht="15.75">
      <c r="A36" s="14" t="s">
        <v>66</v>
      </c>
      <c r="B36" s="55">
        <f>IF(5573.83222="","-",5573.83222)</f>
        <v>5573.83222</v>
      </c>
      <c r="C36" s="55">
        <f>IF(OR(6109.01148="",5573.83222=""),"-",5573.83222/6109.01148*100)</f>
        <v>91.23951130633658</v>
      </c>
      <c r="D36" s="55">
        <f>IF(6109.01148="","-",6109.01148/528166.929*100)</f>
        <v>1.1566440730332057</v>
      </c>
      <c r="E36" s="55">
        <f>IF(5573.83222="","-",5573.83222/678228.23986*100)</f>
        <v>0.8218224916660138</v>
      </c>
      <c r="F36" s="55">
        <f>IF(OR(416515.52507="",3435.43897="",6109.01148=""),"-",(6109.01148-3435.43897)/416515.52507*100)</f>
        <v>0.6418902415583854</v>
      </c>
      <c r="G36" s="55">
        <f>IF(OR(528166.929="",5573.83222="",6109.01148=""),"-",(5573.83222-6109.01148)/528166.929*100)</f>
        <v>-0.10132767324400196</v>
      </c>
    </row>
    <row r="37" spans="1:7" s="16" customFormat="1" ht="15.75">
      <c r="A37" s="14" t="s">
        <v>67</v>
      </c>
      <c r="B37" s="55">
        <f>IF(113.00566="","-",113.00566)</f>
        <v>113.00566</v>
      </c>
      <c r="C37" s="55">
        <f>IF(OR(261.35466="",113.00566=""),"-",113.00566/261.35466*100)</f>
        <v>43.23843316970128</v>
      </c>
      <c r="D37" s="55">
        <f>IF(261.35466="","-",261.35466/528166.929*100)</f>
        <v>0.04948334430836734</v>
      </c>
      <c r="E37" s="55">
        <f>IF(113.00566="","-",113.00566/678228.23986*100)</f>
        <v>0.016661892466071106</v>
      </c>
      <c r="F37" s="55">
        <f>IF(OR(416515.52507="",125.51859="",261.35466=""),"-",(261.35466-125.51859)/416515.52507*100)</f>
        <v>0.03261248664792778</v>
      </c>
      <c r="G37" s="55">
        <f>IF(OR(528166.929="",113.00566="",261.35466=""),"-",(113.00566-261.35466)/528166.929*100)</f>
        <v>-0.028087521549460745</v>
      </c>
    </row>
    <row r="38" spans="1:7" s="16" customFormat="1" ht="15.75">
      <c r="A38" s="14" t="s">
        <v>68</v>
      </c>
      <c r="B38" s="55">
        <f>IF(358.99621="","-",358.99621)</f>
        <v>358.99621</v>
      </c>
      <c r="C38" s="55" t="s">
        <v>200</v>
      </c>
      <c r="D38" s="55">
        <f>IF(205.60505="","-",205.60505/528166.929*100)</f>
        <v>0.038928043145238275</v>
      </c>
      <c r="E38" s="55">
        <f>IF(358.99621="","-",358.99621/678228.23986*100)</f>
        <v>0.052931474819465515</v>
      </c>
      <c r="F38" s="55">
        <f>IF(OR(416515.52507="",321.14712="",205.60505=""),"-",(205.60505-321.14712)/416515.52507*100)</f>
        <v>-0.027740159260709878</v>
      </c>
      <c r="G38" s="55">
        <f>IF(OR(528166.929="",358.99621="",205.60505=""),"-",(358.99621-205.60505)/528166.929*100)</f>
        <v>0.029042174278200595</v>
      </c>
    </row>
    <row r="39" spans="1:7" s="16" customFormat="1" ht="15.75">
      <c r="A39" s="14" t="s">
        <v>69</v>
      </c>
      <c r="B39" s="55">
        <f>IF(17828.10453="","-",17828.10453)</f>
        <v>17828.10453</v>
      </c>
      <c r="C39" s="55">
        <f>IF(OR(11596.69215="",17828.10453=""),"-",17828.10453/11596.69215*100)</f>
        <v>153.73439511369625</v>
      </c>
      <c r="D39" s="55">
        <f>IF(11596.69215="","-",11596.69215/528166.929*100)</f>
        <v>2.195649048295487</v>
      </c>
      <c r="E39" s="55">
        <f>IF(17828.10453="","-",17828.10453/678228.23986*100)</f>
        <v>2.628629048781584</v>
      </c>
      <c r="F39" s="55">
        <f>IF(OR(416515.52507="",4494.7079="",11596.69215=""),"-",(11596.69215-4494.7079)/416515.52507*100)</f>
        <v>1.7050947257743716</v>
      </c>
      <c r="G39" s="55">
        <f>IF(OR(528166.929="",17828.10453="",11596.69215=""),"-",(17828.10453-11596.69215)/528166.929*100)</f>
        <v>1.179818734921209</v>
      </c>
    </row>
    <row r="40" spans="1:7" s="16" customFormat="1" ht="38.25">
      <c r="A40" s="14" t="s">
        <v>70</v>
      </c>
      <c r="B40" s="55">
        <f>IF(6291.17881="","-",6291.17881)</f>
        <v>6291.17881</v>
      </c>
      <c r="C40" s="55">
        <f>IF(OR(7174.50238="",6291.17881=""),"-",6291.17881/7174.50238*100)</f>
        <v>87.68801621054031</v>
      </c>
      <c r="D40" s="55">
        <f>IF(7174.50238="","-",7174.50238/528166.929*100)</f>
        <v>1.358377813162929</v>
      </c>
      <c r="E40" s="55">
        <f>IF(6291.17881="","-",6291.17881/678228.23986*100)</f>
        <v>0.9275902181983202</v>
      </c>
      <c r="F40" s="55">
        <f>IF(OR(416515.52507="",9175.14086="",7174.50238=""),"-",(7174.50238-9175.14086)/416515.52507*100)</f>
        <v>-0.48032746910544827</v>
      </c>
      <c r="G40" s="55">
        <f>IF(OR(528166.929="",6291.17881="",7174.50238=""),"-",(6291.17881-7174.50238)/528166.929*100)</f>
        <v>-0.16724325615623684</v>
      </c>
    </row>
    <row r="41" spans="1:7" s="16" customFormat="1" ht="15.75">
      <c r="A41" s="14" t="s">
        <v>72</v>
      </c>
      <c r="B41" s="55">
        <f>IF(692.06937="","-",692.06937)</f>
        <v>692.06937</v>
      </c>
      <c r="C41" s="55" t="s">
        <v>200</v>
      </c>
      <c r="D41" s="55">
        <f>IF(403.04244="","-",403.04244/528166.929*100)</f>
        <v>0.07630966989226241</v>
      </c>
      <c r="E41" s="55">
        <f>IF(692.06937="","-",692.06937/678228.23986*100)</f>
        <v>0.10204077762124106</v>
      </c>
      <c r="F41" s="55">
        <f>IF(OR(416515.52507="",615.23196="",403.04244=""),"-",(403.04244-615.23196)/416515.52507*100)</f>
        <v>-0.050943964205017137</v>
      </c>
      <c r="G41" s="55">
        <f>IF(OR(528166.929="",692.06937="",403.04244=""),"-",(692.06937-403.04244)/528166.929*100)</f>
        <v>0.05472264811188132</v>
      </c>
    </row>
    <row r="42" spans="1:7" s="16" customFormat="1" ht="15.75">
      <c r="A42" s="14" t="s">
        <v>73</v>
      </c>
      <c r="B42" s="55">
        <f>IF(424.19253="","-",424.19253)</f>
        <v>424.19253</v>
      </c>
      <c r="C42" s="55">
        <f>IF(OR(705.73174="",424.19253=""),"-",424.19253/705.73174*100)</f>
        <v>60.10676663061803</v>
      </c>
      <c r="D42" s="55">
        <f>IF(705.73174="","-",705.73174/528166.929*100)</f>
        <v>0.13361907026935418</v>
      </c>
      <c r="E42" s="55">
        <f>IF(424.19253="","-",424.19253/678228.23986*100)</f>
        <v>0.0625442152169249</v>
      </c>
      <c r="F42" s="55">
        <f>IF(OR(416515.52507="",569.53153="",705.73174=""),"-",(705.73174-569.53153)/416515.52507*100)</f>
        <v>0.03269991196057098</v>
      </c>
      <c r="G42" s="55">
        <f>IF(OR(528166.929="",424.19253="",705.73174=""),"-",(424.19253-705.73174)/528166.929*100)</f>
        <v>-0.05330496752855194</v>
      </c>
    </row>
    <row r="43" spans="1:7" s="16" customFormat="1" ht="15.75">
      <c r="A43" s="14" t="s">
        <v>74</v>
      </c>
      <c r="B43" s="55">
        <f>IF(690.96497="","-",690.96497)</f>
        <v>690.96497</v>
      </c>
      <c r="C43" s="55">
        <f>IF(OR(567.15513="",690.96497=""),"-",690.96497/567.15513*100)</f>
        <v>121.82997798150923</v>
      </c>
      <c r="D43" s="55">
        <f>IF(567.15513="","-",567.15513/528166.929*100)</f>
        <v>0.1073817951975558</v>
      </c>
      <c r="E43" s="55">
        <f>IF(690.96497="","-",690.96497/678228.23986*100)</f>
        <v>0.10187794158241319</v>
      </c>
      <c r="F43" s="55">
        <f>IF(OR(416515.52507="",924.13516="",567.15513=""),"-",(567.15513-924.13516)/416515.52507*100)</f>
        <v>-0.08570629628751669</v>
      </c>
      <c r="G43" s="55">
        <f>IF(OR(528166.929="",690.96497="",567.15513=""),"-",(690.96497-567.15513)/528166.929*100)</f>
        <v>0.02344142224777576</v>
      </c>
    </row>
    <row r="44" spans="1:7" s="16" customFormat="1" ht="25.5">
      <c r="A44" s="15" t="s">
        <v>75</v>
      </c>
      <c r="B44" s="54">
        <f>IF(44922.12367="","-",44922.12367)</f>
        <v>44922.12367</v>
      </c>
      <c r="C44" s="54">
        <f>IF(38445.14211="","-",44922.12367/38445.14211*100)</f>
        <v>116.84733416114818</v>
      </c>
      <c r="D44" s="54">
        <f>IF(38445.14211="","-",38445.14211/528166.929*100)</f>
        <v>7.27897564180888</v>
      </c>
      <c r="E44" s="54">
        <f>IF(44922.12367="","-",44922.12367/678228.23986*100)</f>
        <v>6.623452258383231</v>
      </c>
      <c r="F44" s="54">
        <f>IF(416515.52507="","-",(38445.14211-39664.48332)/416515.52507*100)</f>
        <v>-0.29274808179000655</v>
      </c>
      <c r="G44" s="54">
        <f>IF(528166.929="","-",(44922.12367-38445.14211)/528166.929*100)</f>
        <v>1.2263133498841234</v>
      </c>
    </row>
    <row r="45" spans="1:7" s="16" customFormat="1" ht="15.75">
      <c r="A45" s="14" t="s">
        <v>76</v>
      </c>
      <c r="B45" s="55">
        <f>IF(293.39783="","-",293.39783)</f>
        <v>293.39783</v>
      </c>
      <c r="C45" s="55">
        <f>IF(OR(723.7995="",293.39783=""),"-",293.39783/723.7995*100)</f>
        <v>40.535787880483475</v>
      </c>
      <c r="D45" s="55">
        <f>IF(723.7995="","-",723.7995/528166.929*100)</f>
        <v>0.13703991300068694</v>
      </c>
      <c r="E45" s="55">
        <f>IF(293.39783="","-",293.39783/678228.23986*100)</f>
        <v>0.043259453493202114</v>
      </c>
      <c r="F45" s="55">
        <f>IF(OR(416515.52507="",443.64775="",723.7995=""),"-",(723.7995-443.64775)/416515.52507*100)</f>
        <v>0.06726081817788603</v>
      </c>
      <c r="G45" s="55">
        <f>IF(OR(528166.929="",293.39783="",723.7995=""),"-",(293.39783-723.7995)/528166.929*100)</f>
        <v>-0.08148970455512938</v>
      </c>
    </row>
    <row r="46" spans="1:7" s="16" customFormat="1" ht="15.75">
      <c r="A46" s="14" t="s">
        <v>77</v>
      </c>
      <c r="B46" s="55">
        <f>IF(279.19415="","-",279.19415)</f>
        <v>279.19415</v>
      </c>
      <c r="C46" s="55">
        <f>IF(OR(618.60398="",279.19415=""),"-",279.19415/618.60398*100)</f>
        <v>45.13293787731531</v>
      </c>
      <c r="D46" s="55">
        <f>IF(618.60398="","-",618.60398/528166.929*100)</f>
        <v>0.11712281591943444</v>
      </c>
      <c r="E46" s="55">
        <f>IF(279.19415="","-",279.19415/678228.23986*100)</f>
        <v>0.04116522043635802</v>
      </c>
      <c r="F46" s="55">
        <f>IF(OR(416515.52507="",4634.17893="",618.60398=""),"-",(618.60398-4634.17893)/416515.52507*100)</f>
        <v>-0.9640877010106981</v>
      </c>
      <c r="G46" s="55">
        <f>IF(OR(528166.929="",279.19415="",618.60398=""),"-",(279.19415-618.60398)/528166.929*100)</f>
        <v>-0.06426184817035374</v>
      </c>
    </row>
    <row r="47" spans="1:7" s="16" customFormat="1" ht="15.75">
      <c r="A47" s="14" t="s">
        <v>78</v>
      </c>
      <c r="B47" s="55">
        <f>IF(3912.88053="","-",3912.88053)</f>
        <v>3912.88053</v>
      </c>
      <c r="C47" s="55" t="s">
        <v>199</v>
      </c>
      <c r="D47" s="55">
        <f>IF(2132.58071="","-",2132.58071/528166.929*100)</f>
        <v>0.40377020841454464</v>
      </c>
      <c r="E47" s="55">
        <f>IF(3912.88053="","-",3912.88053/678228.23986*100)</f>
        <v>0.5769268072364102</v>
      </c>
      <c r="F47" s="55">
        <f>IF(OR(416515.52507="",2108.8331="",2132.58071=""),"-",(2132.58071-2108.8331)/416515.52507*100)</f>
        <v>0.005701494559178629</v>
      </c>
      <c r="G47" s="55">
        <f>IF(OR(528166.929="",3912.88053="",2132.58071=""),"-",(3912.88053-2132.58071)/528166.929*100)</f>
        <v>0.3370714299304415</v>
      </c>
    </row>
    <row r="48" spans="1:7" s="16" customFormat="1" ht="25.5">
      <c r="A48" s="14" t="s">
        <v>79</v>
      </c>
      <c r="B48" s="55">
        <f>IF(2636.36078="","-",2636.36078)</f>
        <v>2636.36078</v>
      </c>
      <c r="C48" s="55" t="s">
        <v>199</v>
      </c>
      <c r="D48" s="55">
        <f>IF(1429.45945="","-",1429.45945/528166.929*100)</f>
        <v>0.270645390976382</v>
      </c>
      <c r="E48" s="55">
        <f>IF(2636.36078="","-",2636.36078/678228.23986*100)</f>
        <v>0.3887129177257789</v>
      </c>
      <c r="F48" s="55">
        <f>IF(OR(416515.52507="",1519.07835="",1429.45945=""),"-",(1429.45945-1519.07835)/416515.52507*100)</f>
        <v>-0.021516340833859313</v>
      </c>
      <c r="G48" s="55">
        <f>IF(OR(528166.929="",2636.36078="",1429.45945=""),"-",(2636.36078-1429.45945)/528166.929*100)</f>
        <v>0.22850755390631433</v>
      </c>
    </row>
    <row r="49" spans="1:7" s="16" customFormat="1" ht="25.5">
      <c r="A49" s="14" t="s">
        <v>80</v>
      </c>
      <c r="B49" s="55">
        <f>IF(20531.55975="","-",20531.55975)</f>
        <v>20531.55975</v>
      </c>
      <c r="C49" s="55">
        <f>IF(OR(20491.4322099999="",20531.55975=""),"-",20531.55975/20491.4322099999*100)</f>
        <v>100.19582594124638</v>
      </c>
      <c r="D49" s="55">
        <f>IF(20491.4322099999="","-",20491.4322099999/528166.929*100)</f>
        <v>3.8797264813223284</v>
      </c>
      <c r="E49" s="55">
        <f>IF(20531.55975="","-",20531.55975/678228.23986*100)</f>
        <v>3.027234571394156</v>
      </c>
      <c r="F49" s="55">
        <f>IF(OR(416515.52507="",17566.78945="",20491.4322099999=""),"-",(20491.4322099999-17566.78945)/416515.52507*100)</f>
        <v>0.7021689670531206</v>
      </c>
      <c r="G49" s="55">
        <f>IF(OR(528166.929="",20531.55975="",20491.4322099999=""),"-",(20531.55975-20491.4322099999)/528166.929*100)</f>
        <v>0.007597510899835143</v>
      </c>
    </row>
    <row r="50" spans="1:7" s="16" customFormat="1" ht="15.75">
      <c r="A50" s="14" t="s">
        <v>81</v>
      </c>
      <c r="B50" s="55">
        <f>IF(10188.58561="","-",10188.58561)</f>
        <v>10188.58561</v>
      </c>
      <c r="C50" s="55" t="s">
        <v>200</v>
      </c>
      <c r="D50" s="55">
        <f>IF(6156.7924="","-",6156.7924/528166.929*100)</f>
        <v>1.1656906296001734</v>
      </c>
      <c r="E50" s="55">
        <f>IF(10188.58561="","-",10188.58561/678228.23986*100)</f>
        <v>1.5022355324076642</v>
      </c>
      <c r="F50" s="55">
        <f>IF(OR(416515.52507="",6391.78002="",6156.7924=""),"-",(6156.7924-6391.78002)/416515.52507*100)</f>
        <v>-0.05641749367217648</v>
      </c>
      <c r="G50" s="55">
        <f>IF(OR(528166.929="",10188.58561="",6156.7924=""),"-",(10188.58561-6156.7924)/528166.929*100)</f>
        <v>0.763355861305735</v>
      </c>
    </row>
    <row r="51" spans="1:7" s="16" customFormat="1" ht="15.75">
      <c r="A51" s="14" t="s">
        <v>82</v>
      </c>
      <c r="B51" s="55">
        <f>IF(330.00036="","-",330.00036)</f>
        <v>330.00036</v>
      </c>
      <c r="C51" s="55">
        <f>IF(OR(473.1633="",330.00036=""),"-",330.00036/473.1633*100)</f>
        <v>69.74343952711463</v>
      </c>
      <c r="D51" s="55">
        <f>IF(473.1633="","-",473.1633/528166.929*100)</f>
        <v>0.08958593846378443</v>
      </c>
      <c r="E51" s="55">
        <f>IF(330.00036="","-",330.00036/678228.23986*100)</f>
        <v>0.048656239980234196</v>
      </c>
      <c r="F51" s="55">
        <f>IF(OR(416515.52507="",854.54433="",473.1633=""),"-",(473.1633-854.54433)/416515.52507*100)</f>
        <v>-0.09156466134987519</v>
      </c>
      <c r="G51" s="55">
        <f>IF(OR(528166.929="",330.00036="",473.1633=""),"-",(330.00036-473.1633)/528166.929*100)</f>
        <v>-0.027105623646496803</v>
      </c>
    </row>
    <row r="52" spans="1:7" s="16" customFormat="1" ht="15.75">
      <c r="A52" s="14" t="s">
        <v>83</v>
      </c>
      <c r="B52" s="55">
        <f>IF(685.6187="","-",685.6187)</f>
        <v>685.6187</v>
      </c>
      <c r="C52" s="55">
        <f>IF(OR(769.03158="",685.6187=""),"-",685.6187/769.03158*100)</f>
        <v>89.15351694659925</v>
      </c>
      <c r="D52" s="55">
        <f>IF(769.03158="","-",769.03158/528166.929*100)</f>
        <v>0.1456038872892021</v>
      </c>
      <c r="E52" s="55">
        <f>IF(685.6187="","-",685.6187/678228.23986*100)</f>
        <v>0.10108967154501346</v>
      </c>
      <c r="F52" s="55">
        <f>IF(OR(416515.52507="",351.85636="",769.03158=""),"-",(769.03158-351.85636)/416515.52507*100)</f>
        <v>0.10015838423547095</v>
      </c>
      <c r="G52" s="55">
        <f>IF(OR(528166.929="",685.6187="",769.03158=""),"-",(685.6187-769.03158)/528166.929*100)</f>
        <v>-0.01579290095991602</v>
      </c>
    </row>
    <row r="53" spans="1:7" s="16" customFormat="1" ht="15.75">
      <c r="A53" s="14" t="s">
        <v>84</v>
      </c>
      <c r="B53" s="55">
        <f>IF(6064.52596="","-",6064.52596)</f>
        <v>6064.52596</v>
      </c>
      <c r="C53" s="55">
        <f>IF(OR(5650.27898="",6064.52596=""),"-",6064.52596/5650.27898*100)</f>
        <v>107.33144295115848</v>
      </c>
      <c r="D53" s="55">
        <f>IF(5650.27898="","-",5650.27898/528166.929*100)</f>
        <v>1.0697903768223247</v>
      </c>
      <c r="E53" s="55">
        <f>IF(6064.52596="","-",6064.52596/678228.23986*100)</f>
        <v>0.8941718441644131</v>
      </c>
      <c r="F53" s="55">
        <f>IF(OR(416515.52507="",5793.77503="",5650.27898=""),"-",(5650.27898-5793.77503)/416515.52507*100)</f>
        <v>-0.03445154894907787</v>
      </c>
      <c r="G53" s="55">
        <f>IF(OR(528166.929="",6064.52596="",5650.27898=""),"-",(6064.52596-5650.27898)/528166.929*100)</f>
        <v>0.07843107117371217</v>
      </c>
    </row>
    <row r="54" spans="1:7" s="16" customFormat="1" ht="14.25" customHeight="1">
      <c r="A54" s="15" t="s">
        <v>85</v>
      </c>
      <c r="B54" s="54">
        <f>IF(122604.32164="","-",122604.32164)</f>
        <v>122604.32164</v>
      </c>
      <c r="C54" s="54">
        <f>IF(97641.00036="","-",122604.32164/97641.00036*100)</f>
        <v>125.56643335070395</v>
      </c>
      <c r="D54" s="54">
        <f>IF(97641.00036="","-",97641.00036/528166.929*100)</f>
        <v>18.486769049487386</v>
      </c>
      <c r="E54" s="54">
        <f>IF(122604.32164="","-",122604.32164/678228.23986*100)</f>
        <v>18.077147844110414</v>
      </c>
      <c r="F54" s="54">
        <f>IF(416515.52507="","-",(97641.00036-69400.21455)/416515.52507*100)</f>
        <v>6.780248060442363</v>
      </c>
      <c r="G54" s="54">
        <f>IF(528166.929="","-",(122604.32164-97641.00036)/528166.929*100)</f>
        <v>4.726407487735755</v>
      </c>
    </row>
    <row r="55" spans="1:7" s="16" customFormat="1" ht="27.75" customHeight="1">
      <c r="A55" s="14" t="s">
        <v>86</v>
      </c>
      <c r="B55" s="55">
        <f>IF(847.41283="","-",847.41283)</f>
        <v>847.41283</v>
      </c>
      <c r="C55" s="55">
        <f>IF(OR(644.89867="",847.41283=""),"-",847.41283/644.89867*100)</f>
        <v>131.40247753961097</v>
      </c>
      <c r="D55" s="55">
        <f>IF(644.89867="","-",644.89867/528166.929*100)</f>
        <v>0.12210129687994913</v>
      </c>
      <c r="E55" s="55">
        <f>IF(847.41283="","-",847.41283/678228.23986*100)</f>
        <v>0.12494508193509064</v>
      </c>
      <c r="F55" s="55">
        <f>IF(OR(416515.52507="",474.27283="",644.89867=""),"-",(644.89867-474.27283)/416515.52507*100)</f>
        <v>0.04096506125943913</v>
      </c>
      <c r="G55" s="55">
        <f>IF(OR(528166.929="",847.41283="",644.89867=""),"-",(847.41283-644.89867)/528166.929*100)</f>
        <v>0.03834283232829974</v>
      </c>
    </row>
    <row r="56" spans="1:7" s="16" customFormat="1" ht="25.5">
      <c r="A56" s="14" t="s">
        <v>87</v>
      </c>
      <c r="B56" s="55">
        <f>IF(3202.39188="","-",3202.39188)</f>
        <v>3202.39188</v>
      </c>
      <c r="C56" s="55" t="s">
        <v>212</v>
      </c>
      <c r="D56" s="55">
        <f>IF(1377.97207="","-",1377.97207/528166.929*100)</f>
        <v>0.260897075212371</v>
      </c>
      <c r="E56" s="55">
        <f>IF(3202.39188="","-",3202.39188/678228.23986*100)</f>
        <v>0.4721702358871165</v>
      </c>
      <c r="F56" s="55">
        <f>IF(OR(416515.52507="",2204.96092="",1377.97207=""),"-",(1377.97207-2204.96092)/416515.52507*100)</f>
        <v>-0.19854934575632335</v>
      </c>
      <c r="G56" s="55">
        <f>IF(OR(528166.929="",3202.39188="",1377.97207=""),"-",(3202.39188-1377.97207)/528166.929*100)</f>
        <v>0.34542484768106335</v>
      </c>
    </row>
    <row r="57" spans="1:7" s="16" customFormat="1" ht="25.5">
      <c r="A57" s="14" t="s">
        <v>88</v>
      </c>
      <c r="B57" s="55">
        <f>IF(423.12144="","-",423.12144)</f>
        <v>423.12144</v>
      </c>
      <c r="C57" s="55">
        <f>IF(OR(339.13219="",423.12144=""),"-",423.12144/339.13219*100)</f>
        <v>124.76593271785849</v>
      </c>
      <c r="D57" s="55">
        <f>IF(339.13219="","-",339.13219/528166.929*100)</f>
        <v>0.06420928145616629</v>
      </c>
      <c r="E57" s="55">
        <f>IF(423.12144="","-",423.12144/678228.23986*100)</f>
        <v>0.06238629050411419</v>
      </c>
      <c r="F57" s="55">
        <f>IF(OR(416515.52507="",294.73464="",339.13219=""),"-",(339.13219-294.73464)/416515.52507*100)</f>
        <v>0.010659278544908614</v>
      </c>
      <c r="G57" s="55">
        <f>IF(OR(528166.929="",423.12144="",339.13219=""),"-",(423.12144-339.13219)/528166.929*100)</f>
        <v>0.015902027444054535</v>
      </c>
    </row>
    <row r="58" spans="1:7" s="16" customFormat="1" ht="39" customHeight="1">
      <c r="A58" s="14" t="s">
        <v>89</v>
      </c>
      <c r="B58" s="55">
        <f>IF(4910.91521="","-",4910.91521)</f>
        <v>4910.91521</v>
      </c>
      <c r="C58" s="55">
        <f>IF(OR(5913.46283="",4910.91521=""),"-",4910.91521/5913.46283*100)</f>
        <v>83.0463528930307</v>
      </c>
      <c r="D58" s="55">
        <f>IF(5913.46283="","-",5913.46283/528166.929*100)</f>
        <v>1.119620049137912</v>
      </c>
      <c r="E58" s="55">
        <f>IF(4910.91521="","-",4910.91521/678228.23986*100)</f>
        <v>0.7240800251864642</v>
      </c>
      <c r="F58" s="55">
        <f>IF(OR(416515.52507="",8393.72288="",5913.46283=""),"-",(5913.46283-8393.72288)/416515.52507*100)</f>
        <v>-0.5954784157404851</v>
      </c>
      <c r="G58" s="55">
        <f>IF(OR(528166.929="",4910.91521="",5913.46283=""),"-",(4910.91521-5913.46283)/528166.929*100)</f>
        <v>-0.18981643206971793</v>
      </c>
    </row>
    <row r="59" spans="1:7" s="16" customFormat="1" ht="27" customHeight="1">
      <c r="A59" s="14" t="s">
        <v>90</v>
      </c>
      <c r="B59" s="55">
        <f>IF(351.91228="","-",351.91228)</f>
        <v>351.91228</v>
      </c>
      <c r="C59" s="55" t="s">
        <v>200</v>
      </c>
      <c r="D59" s="55">
        <f>IF(204.78086="","-",204.78086/528166.929*100)</f>
        <v>0.038771995889201154</v>
      </c>
      <c r="E59" s="55">
        <f>IF(351.91228="","-",351.91228/678228.23986*100)</f>
        <v>0.051886998995005255</v>
      </c>
      <c r="F59" s="55">
        <f>IF(OR(416515.52507="",166.6458="",204.78086=""),"-",(204.78086-166.6458)/416515.52507*100)</f>
        <v>0.00915573554997523</v>
      </c>
      <c r="G59" s="55">
        <f>IF(OR(528166.929="",351.91228="",204.78086=""),"-",(351.91228-204.78086)/528166.929*100)</f>
        <v>0.027856992159386036</v>
      </c>
    </row>
    <row r="60" spans="1:7" s="16" customFormat="1" ht="39" customHeight="1">
      <c r="A60" s="14" t="s">
        <v>91</v>
      </c>
      <c r="B60" s="55">
        <f>IF(534.06432="","-",534.06432)</f>
        <v>534.06432</v>
      </c>
      <c r="C60" s="55">
        <f>IF(OR(620.31502="",534.06432=""),"-",534.06432/620.31502*100)</f>
        <v>86.09566152372064</v>
      </c>
      <c r="D60" s="55">
        <f>IF(620.31502="","-",620.31502/528166.929*100)</f>
        <v>0.11744677410501028</v>
      </c>
      <c r="E60" s="55">
        <f>IF(534.06432="","-",534.06432/678228.23986*100)</f>
        <v>0.07874404051801819</v>
      </c>
      <c r="F60" s="55">
        <f>IF(OR(416515.52507="",468.12649="",620.31502=""),"-",(620.31502-468.12649)/416515.52507*100)</f>
        <v>0.03653850116977586</v>
      </c>
      <c r="G60" s="55">
        <f>IF(OR(528166.929="",534.06432="",620.31502=""),"-",(534.06432-620.31502)/528166.929*100)</f>
        <v>-0.016330197001031856</v>
      </c>
    </row>
    <row r="61" spans="1:7" s="16" customFormat="1" ht="40.5" customHeight="1">
      <c r="A61" s="14" t="s">
        <v>92</v>
      </c>
      <c r="B61" s="55">
        <f>IF(107898.83637="","-",107898.83637)</f>
        <v>107898.83637</v>
      </c>
      <c r="C61" s="55" t="s">
        <v>201</v>
      </c>
      <c r="D61" s="55">
        <f>IF(69513.74669="","-",69513.74669/528166.929*100)</f>
        <v>13.161321331044565</v>
      </c>
      <c r="E61" s="55">
        <f>IF(107898.83637="","-",107898.83637/678228.23986*100)</f>
        <v>15.908927117554484</v>
      </c>
      <c r="F61" s="55">
        <f>IF(OR(416515.52507="",51964.98366="",69513.74669=""),"-",(69513.74669-51964.98366)/416515.52507*100)</f>
        <v>4.213231434062569</v>
      </c>
      <c r="G61" s="55">
        <f>IF(OR(528166.929="",107898.83637="",69513.74669=""),"-",(107898.83637-69513.74669)/528166.929*100)</f>
        <v>7.2676056701762946</v>
      </c>
    </row>
    <row r="62" spans="1:7" s="16" customFormat="1" ht="25.5">
      <c r="A62" s="14" t="s">
        <v>93</v>
      </c>
      <c r="B62" s="55">
        <f>IF(4376.47038="","-",4376.47038)</f>
        <v>4376.47038</v>
      </c>
      <c r="C62" s="55">
        <f>IF(OR(7256.0298="",4376.47038=""),"-",4376.47038/7256.0298*100)</f>
        <v>60.31494495791624</v>
      </c>
      <c r="D62" s="55">
        <f>IF(7256.0298="","-",7256.0298/528166.929*100)</f>
        <v>1.3738137322868997</v>
      </c>
      <c r="E62" s="55">
        <f>IF(4376.47038="","-",4376.47038/678228.23986*100)</f>
        <v>0.6452798811360895</v>
      </c>
      <c r="F62" s="55">
        <f>IF(OR(416515.52507="",5234.93902="",7256.0298=""),"-",(7256.0298-5234.93902)/416515.52507*100)</f>
        <v>0.4852378022788788</v>
      </c>
      <c r="G62" s="55">
        <f>IF(OR(528166.929="",4376.47038="",7256.0298=""),"-",(4376.47038-7256.0298)/528166.929*100)</f>
        <v>-0.5451987358337615</v>
      </c>
    </row>
    <row r="63" spans="1:7" s="16" customFormat="1" ht="15.75">
      <c r="A63" s="14" t="s">
        <v>94</v>
      </c>
      <c r="B63" s="55">
        <f>IF(59.19693="","-",59.19693)</f>
        <v>59.19693</v>
      </c>
      <c r="C63" s="55">
        <f>IF(OR(11770.66223="",59.19693=""),"-",59.19693/11770.66223*100)</f>
        <v>0.502919282222917</v>
      </c>
      <c r="D63" s="55">
        <f>IF(11770.66223="","-",11770.66223/528166.929*100)</f>
        <v>2.2285875134753086</v>
      </c>
      <c r="E63" s="55">
        <f>IF(59.19693="","-",59.19693/678228.23986*100)</f>
        <v>0.008728172394033526</v>
      </c>
      <c r="F63" s="55">
        <f>IF(OR(416515.52507="",197.82831="",11770.66223=""),"-",(11770.66223-197.82831)/416515.52507*100)</f>
        <v>2.7784880090736253</v>
      </c>
      <c r="G63" s="55">
        <f>IF(OR(528166.929="",59.19693="",11770.66223=""),"-",(59.19693-11770.66223)/528166.929*100)</f>
        <v>-2.2173795171488293</v>
      </c>
    </row>
    <row r="64" spans="1:7" s="16" customFormat="1" ht="15.75">
      <c r="A64" s="15" t="s">
        <v>95</v>
      </c>
      <c r="B64" s="54">
        <f>IF(154230.50783="","-",154230.50783)</f>
        <v>154230.50783</v>
      </c>
      <c r="C64" s="54">
        <f>IF(120234.68423="","-",154230.50783/120234.68423*100)</f>
        <v>128.2745563958637</v>
      </c>
      <c r="D64" s="54">
        <f>IF(120234.68423="","-",120234.68423/528166.929*100)</f>
        <v>22.76452341642163</v>
      </c>
      <c r="E64" s="54">
        <f>IF(154230.50783="","-",154230.50783/678228.23986*100)</f>
        <v>22.740207317500712</v>
      </c>
      <c r="F64" s="54">
        <f>IF(416515.52507="","-",(120234.68423-108253.09369)/416515.52507*100)</f>
        <v>2.876625196140376</v>
      </c>
      <c r="G64" s="54">
        <f>IF(528166.929="","-",(154230.50783-120234.68423)/528166.929*100)</f>
        <v>6.436568011625732</v>
      </c>
    </row>
    <row r="65" spans="1:7" s="16" customFormat="1" ht="39.75" customHeight="1">
      <c r="A65" s="14" t="s">
        <v>96</v>
      </c>
      <c r="B65" s="55">
        <f>IF(1791.59783="","-",1791.59783)</f>
        <v>1791.59783</v>
      </c>
      <c r="C65" s="55">
        <f>IF(OR(2428.82595="",1791.59783=""),"-",1791.59783/2428.82595*100)</f>
        <v>73.7639446745865</v>
      </c>
      <c r="D65" s="55">
        <f>IF(2428.82595="","-",2428.82595/528166.929*100)</f>
        <v>0.45985952861505264</v>
      </c>
      <c r="E65" s="55">
        <f>IF(1791.59783="","-",1791.59783/678228.23986*100)</f>
        <v>0.2641585420226415</v>
      </c>
      <c r="F65" s="55">
        <f>IF(OR(416515.52507="",912.56384="",2428.82595=""),"-",(2428.82595-912.56384)/416515.52507*100)</f>
        <v>0.36403495637891903</v>
      </c>
      <c r="G65" s="55">
        <f>IF(OR(528166.929="",1791.59783="",2428.82595=""),"-",(1791.59783-2428.82595)/528166.929*100)</f>
        <v>-0.12064900034663094</v>
      </c>
    </row>
    <row r="66" spans="1:7" s="16" customFormat="1" ht="15.75">
      <c r="A66" s="14" t="s">
        <v>97</v>
      </c>
      <c r="B66" s="55">
        <f>IF(39933.8934="","-",39933.8934)</f>
        <v>39933.8934</v>
      </c>
      <c r="C66" s="55">
        <f>IF(OR(29474.19421="",39933.8934=""),"-",39933.8934/29474.19421*100)</f>
        <v>135.48765104645756</v>
      </c>
      <c r="D66" s="55">
        <f>IF(29474.19421="","-",29474.19421/528166.929*100)</f>
        <v>5.580469467447478</v>
      </c>
      <c r="E66" s="55">
        <f>IF(39933.8934="","-",39933.8934/678228.23986*100)</f>
        <v>5.887972669531302</v>
      </c>
      <c r="F66" s="55">
        <f>IF(OR(416515.52507="",28044.21311="",29474.19421=""),"-",(29474.19421-28044.21311)/416515.52507*100)</f>
        <v>0.3433199998390641</v>
      </c>
      <c r="G66" s="55">
        <f>IF(OR(528166.929="",39933.8934="",29474.19421=""),"-",(39933.8934-29474.19421)/528166.929*100)</f>
        <v>1.9803775313618697</v>
      </c>
    </row>
    <row r="67" spans="1:7" s="16" customFormat="1" ht="15.75">
      <c r="A67" s="14" t="s">
        <v>98</v>
      </c>
      <c r="B67" s="55">
        <f>IF(4436.7702="","-",4436.7702)</f>
        <v>4436.7702</v>
      </c>
      <c r="C67" s="55">
        <f>IF(OR(2999.42683="",4436.7702=""),"-",4436.7702/2999.42683*100)</f>
        <v>147.92060121699987</v>
      </c>
      <c r="D67" s="55">
        <f>IF(2999.42683="","-",2999.42683/528166.929*100)</f>
        <v>0.5678937217214521</v>
      </c>
      <c r="E67" s="55">
        <f>IF(4436.7702="","-",4436.7702/678228.23986*100)</f>
        <v>0.6541706669300351</v>
      </c>
      <c r="F67" s="55">
        <f>IF(OR(416515.52507="",3268.41629="",2999.42683=""),"-",(2999.42683-3268.41629)/416515.52507*100)</f>
        <v>-0.06458089646353365</v>
      </c>
      <c r="G67" s="55">
        <f>IF(OR(528166.929="",4436.7702="",2999.42683=""),"-",(4436.7702-2999.42683)/528166.929*100)</f>
        <v>0.27213808572251597</v>
      </c>
    </row>
    <row r="68" spans="1:7" s="16" customFormat="1" ht="15.75">
      <c r="A68" s="14" t="s">
        <v>99</v>
      </c>
      <c r="B68" s="55">
        <f>IF(78772.12681="","-",78772.12681)</f>
        <v>78772.12681</v>
      </c>
      <c r="C68" s="55">
        <f>IF(OR(62262.91518="",78772.12681=""),"-",78772.12681/62262.91518*100)</f>
        <v>126.51532068852289</v>
      </c>
      <c r="D68" s="55">
        <f>IF(62262.91518="","-",62262.91518/528166.929*100)</f>
        <v>11.788491812216437</v>
      </c>
      <c r="E68" s="55">
        <f>IF(78772.12681="","-",78772.12681/678228.23986*100)</f>
        <v>11.614397953447082</v>
      </c>
      <c r="F68" s="55">
        <f>IF(OR(416515.52507="",55578.27008="",62262.91518=""),"-",(62262.91518-55578.27008)/416515.52507*100)</f>
        <v>1.6048969840623766</v>
      </c>
      <c r="G68" s="55">
        <f>IF(OR(528166.929="",78772.12681="",62262.91518=""),"-",(78772.12681-62262.91518)/528166.929*100)</f>
        <v>3.125756408349452</v>
      </c>
    </row>
    <row r="69" spans="1:7" s="16" customFormat="1" ht="14.25" customHeight="1">
      <c r="A69" s="14" t="s">
        <v>100</v>
      </c>
      <c r="B69" s="55">
        <f>IF(9842.31654="","-",9842.31654)</f>
        <v>9842.31654</v>
      </c>
      <c r="C69" s="55">
        <f>IF(OR(8278.63997="",9842.31654=""),"-",9842.31654/8278.63997*100)</f>
        <v>118.88808518870763</v>
      </c>
      <c r="D69" s="55">
        <f>IF(8278.63997="","-",8278.63997/528166.929*100)</f>
        <v>1.5674286888189473</v>
      </c>
      <c r="E69" s="55">
        <f>IF(9842.31654="","-",9842.31654/678228.23986*100)</f>
        <v>1.45118058517169</v>
      </c>
      <c r="F69" s="55">
        <f>IF(OR(416515.52507="",7669.46095="",8278.63997=""),"-",(8278.63997-7669.46095)/416515.52507*100)</f>
        <v>0.14625601768328356</v>
      </c>
      <c r="G69" s="55">
        <f>IF(OR(528166.929="",9842.31654="",8278.63997=""),"-",(9842.31654-8278.63997)/528166.929*100)</f>
        <v>0.2960572660163657</v>
      </c>
    </row>
    <row r="70" spans="1:7" ht="27.75" customHeight="1">
      <c r="A70" s="8" t="s">
        <v>105</v>
      </c>
      <c r="B70" s="55">
        <f>IF(5523.89161="","-",5523.89161)</f>
        <v>5523.89161</v>
      </c>
      <c r="C70" s="55">
        <f>IF(OR(5023.73246="",5523.89161=""),"-",5523.89161/5023.73246*100)</f>
        <v>109.95592727085628</v>
      </c>
      <c r="D70" s="55">
        <f>IF(5023.73246="","-",5023.73246/528166.929*100)</f>
        <v>0.9511637673929411</v>
      </c>
      <c r="E70" s="55">
        <f>IF(5523.89161="","-",5523.89161/678228.23986*100)</f>
        <v>0.8144590987748082</v>
      </c>
      <c r="F70" s="55">
        <f>IF(OR(416515.52507="",6436.23589="",5023.73246=""),"-",(5023.73246-6436.23589)/416515.52507*100)</f>
        <v>-0.33912383692363285</v>
      </c>
      <c r="G70" s="55">
        <f>IF(OR(528166.929="",5523.89161="",5023.73246=""),"-",(5523.89161-5023.73246)/528166.929*100)</f>
        <v>0.0946971729083779</v>
      </c>
    </row>
    <row r="71" spans="1:7" ht="25.5">
      <c r="A71" s="10" t="s">
        <v>102</v>
      </c>
      <c r="B71" s="55">
        <f>IF(931.53162="","-",931.53162)</f>
        <v>931.53162</v>
      </c>
      <c r="C71" s="55" t="s">
        <v>201</v>
      </c>
      <c r="D71" s="55">
        <f>IF(564.60173="","-",564.60173/528166.929*100)</f>
        <v>0.1068983495556951</v>
      </c>
      <c r="E71" s="55">
        <f>IF(931.53162="","-",931.53162/678228.23986*100)</f>
        <v>0.13734780789904694</v>
      </c>
      <c r="F71" s="55">
        <f>IF(OR(416515.52507="",247.42917="",564.60173=""),"-",(564.60173-247.42917)/416515.52507*100)</f>
        <v>0.07614903668877544</v>
      </c>
      <c r="G71" s="55">
        <f>IF(OR(528166.929="",931.53162="",564.60173=""),"-",(931.53162-564.60173)/528166.929*100)</f>
        <v>0.06947233343343237</v>
      </c>
    </row>
    <row r="72" spans="1:7" ht="15.75">
      <c r="A72" s="11" t="s">
        <v>103</v>
      </c>
      <c r="B72" s="55">
        <f>IF(12998.37982="","-",12998.37982)</f>
        <v>12998.37982</v>
      </c>
      <c r="C72" s="55">
        <f>IF(OR(9202.3479="",12998.37982=""),"-",12998.37982/9202.3479*100)</f>
        <v>141.25068907686048</v>
      </c>
      <c r="D72" s="55">
        <f>IF(9202.3479="","-",9202.3479/528166.929*100)</f>
        <v>1.742318080653626</v>
      </c>
      <c r="E72" s="55">
        <f>IF(12998.37982="","-",12998.37982/678228.23986*100)</f>
        <v>1.916519993724108</v>
      </c>
      <c r="F72" s="55">
        <f>IF(OR(416515.52507="",6096.50436="",9202.3479=""),"-",(9202.3479-6096.50436)/416515.52507*100)</f>
        <v>0.7456729348751238</v>
      </c>
      <c r="G72" s="55">
        <f>IF(OR(528166.929="",12998.37982="",9202.3479=""),"-",(12998.37982-9202.3479)/528166.929*100)</f>
        <v>0.7187182141803504</v>
      </c>
    </row>
    <row r="73" spans="1:7" ht="15.75">
      <c r="A73" s="88" t="s">
        <v>26</v>
      </c>
      <c r="B73" s="88"/>
      <c r="C73" s="88"/>
      <c r="D73" s="88"/>
      <c r="E73" s="88"/>
      <c r="F73" s="88"/>
      <c r="G73" s="88"/>
    </row>
    <row r="74" spans="2:7" ht="15.75">
      <c r="B74" s="18"/>
      <c r="C74" s="19"/>
      <c r="D74" s="19"/>
      <c r="E74" s="19"/>
      <c r="F74" s="19"/>
      <c r="G74" s="19"/>
    </row>
  </sheetData>
  <sheetProtection/>
  <mergeCells count="11">
    <mergeCell ref="A73:G73"/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G80"/>
  <sheetViews>
    <sheetView zoomScalePageLayoutView="0" workbookViewId="0" topLeftCell="A1">
      <selection activeCell="A1" sqref="A1:G1"/>
    </sheetView>
  </sheetViews>
  <sheetFormatPr defaultColWidth="9.00390625" defaultRowHeight="15.75"/>
  <cols>
    <col min="1" max="1" width="28.25390625" style="0" customWidth="1"/>
    <col min="2" max="2" width="11.50390625" style="0" customWidth="1"/>
    <col min="3" max="3" width="10.50390625" style="0" customWidth="1"/>
    <col min="4" max="5" width="8.125" style="0" customWidth="1"/>
    <col min="6" max="6" width="10.125" style="0" customWidth="1"/>
    <col min="7" max="7" width="9.50390625" style="0" customWidth="1"/>
  </cols>
  <sheetData>
    <row r="1" spans="1:7" ht="15.75">
      <c r="A1" s="79" t="s">
        <v>243</v>
      </c>
      <c r="B1" s="79"/>
      <c r="C1" s="79"/>
      <c r="D1" s="79"/>
      <c r="E1" s="79"/>
      <c r="F1" s="79"/>
      <c r="G1" s="79"/>
    </row>
    <row r="2" spans="1:7" ht="15.75">
      <c r="A2" s="79" t="s">
        <v>31</v>
      </c>
      <c r="B2" s="79"/>
      <c r="C2" s="79"/>
      <c r="D2" s="79"/>
      <c r="E2" s="79"/>
      <c r="F2" s="79"/>
      <c r="G2" s="79"/>
    </row>
    <row r="3" ht="15.75">
      <c r="A3" s="5"/>
    </row>
    <row r="4" spans="1:7" ht="57" customHeight="1">
      <c r="A4" s="89"/>
      <c r="B4" s="92" t="s">
        <v>248</v>
      </c>
      <c r="C4" s="86"/>
      <c r="D4" s="92" t="s">
        <v>0</v>
      </c>
      <c r="E4" s="86"/>
      <c r="F4" s="83" t="s">
        <v>246</v>
      </c>
      <c r="G4" s="93"/>
    </row>
    <row r="5" spans="1:7" ht="26.25" customHeight="1">
      <c r="A5" s="90"/>
      <c r="B5" s="94" t="s">
        <v>216</v>
      </c>
      <c r="C5" s="81" t="s">
        <v>249</v>
      </c>
      <c r="D5" s="96" t="s">
        <v>250</v>
      </c>
      <c r="E5" s="96"/>
      <c r="F5" s="96" t="s">
        <v>250</v>
      </c>
      <c r="G5" s="92"/>
    </row>
    <row r="6" spans="1:7" ht="26.25" customHeight="1">
      <c r="A6" s="91"/>
      <c r="B6" s="95"/>
      <c r="C6" s="82"/>
      <c r="D6" s="49">
        <v>2017</v>
      </c>
      <c r="E6" s="49">
        <v>2018</v>
      </c>
      <c r="F6" s="49" t="s">
        <v>177</v>
      </c>
      <c r="G6" s="45" t="s">
        <v>215</v>
      </c>
    </row>
    <row r="7" spans="1:7" ht="15.75">
      <c r="A7" s="7" t="s">
        <v>185</v>
      </c>
      <c r="B7" s="43">
        <f>IF(1326198.65303="","-",1326198.65303)</f>
        <v>1326198.65303</v>
      </c>
      <c r="C7" s="43">
        <f>IF(1030698.33623="","-",1326198.65303/1030698.33623*100)</f>
        <v>128.66991304952094</v>
      </c>
      <c r="D7" s="43">
        <v>100</v>
      </c>
      <c r="E7" s="43">
        <v>100</v>
      </c>
      <c r="F7" s="43">
        <f>IF(861112.79978="","-",(1030698.33623-861112.79978)/861112.79978*100)</f>
        <v>19.693765612742755</v>
      </c>
      <c r="G7" s="43">
        <f>IF(1030698.33623="","-",(1326198.65303-1030698.33623)/1030698.33623*100)</f>
        <v>28.669913049520936</v>
      </c>
    </row>
    <row r="8" spans="1:7" ht="12" customHeight="1">
      <c r="A8" s="8" t="s">
        <v>106</v>
      </c>
      <c r="B8" s="25"/>
      <c r="C8" s="25"/>
      <c r="D8" s="25"/>
      <c r="E8" s="25"/>
      <c r="F8" s="25"/>
      <c r="G8" s="25"/>
    </row>
    <row r="9" spans="1:7" ht="12.75" customHeight="1">
      <c r="A9" s="9" t="s">
        <v>32</v>
      </c>
      <c r="B9" s="23">
        <f>IF(149365.36561="","-",149365.36561)</f>
        <v>149365.36561</v>
      </c>
      <c r="C9" s="23">
        <f>IF(121518.42221="","-",149365.36561/121518.42221*100)</f>
        <v>122.91582041106226</v>
      </c>
      <c r="D9" s="23">
        <f>IF(121518.42221="","-",121518.42221/1030698.33623*100)</f>
        <v>11.789911552053113</v>
      </c>
      <c r="E9" s="23">
        <f>IF(149365.36561="","-",149365.36561/1326198.65303*100)</f>
        <v>11.26266907817627</v>
      </c>
      <c r="F9" s="23">
        <f>IF(861112.79978="","-",(121518.42221-102906.69503)/861112.79978*100)</f>
        <v>2.1613576275669097</v>
      </c>
      <c r="G9" s="23">
        <f>IF(1030698.33623="","-",(149365.36561-121518.42221)/1030698.33623*100)</f>
        <v>2.7017549578915756</v>
      </c>
    </row>
    <row r="10" spans="1:7" ht="14.25" customHeight="1">
      <c r="A10" s="8" t="s">
        <v>33</v>
      </c>
      <c r="B10" s="24">
        <f>IF(1252.11821="","-",1252.11821)</f>
        <v>1252.11821</v>
      </c>
      <c r="C10" s="24">
        <f>IF(OR(1236.16833="",1252.11821=""),"-",1252.11821/1236.16833*100)</f>
        <v>101.29026764502211</v>
      </c>
      <c r="D10" s="24">
        <f>IF(1236.16833="","-",1236.16833/1030698.33623*100)</f>
        <v>0.1199350272089844</v>
      </c>
      <c r="E10" s="24">
        <f>IF(1252.11821="","-",1252.11821/1326198.65303*100)</f>
        <v>0.09441407643864315</v>
      </c>
      <c r="F10" s="24">
        <f>IF(OR(861112.79978="",1653.80618="",1236.16833=""),"-",(1236.16833-1653.80618)/861112.79978*100)</f>
        <v>-0.04849978424507214</v>
      </c>
      <c r="G10" s="24">
        <f>IF(OR(1030698.33623="",1252.11821="",1236.16833=""),"-",(1252.11821-1236.16833)/1030698.33623*100)</f>
        <v>0.0015474828511259874</v>
      </c>
    </row>
    <row r="11" spans="1:7" s="16" customFormat="1" ht="13.5" customHeight="1">
      <c r="A11" s="14" t="s">
        <v>34</v>
      </c>
      <c r="B11" s="24">
        <f>IF(7526.84009="","-",7526.84009)</f>
        <v>7526.84009</v>
      </c>
      <c r="C11" s="24">
        <f>IF(OR(4953.44322="",7526.84009=""),"-",7526.84009/4953.44322*100)</f>
        <v>151.95167796836074</v>
      </c>
      <c r="D11" s="24">
        <f>IF(4953.44322="","-",4953.44322/1030698.33623*100)</f>
        <v>0.4805909785513267</v>
      </c>
      <c r="E11" s="24">
        <f>IF(7526.84009="","-",7526.84009/1326198.65303*100)</f>
        <v>0.567549972457236</v>
      </c>
      <c r="F11" s="24">
        <f>IF(OR(861112.79978="",4562.34675="",4953.44322=""),"-",(4953.44322-4562.34675)/861112.79978*100)</f>
        <v>0.045417565515216946</v>
      </c>
      <c r="G11" s="24">
        <f>IF(OR(1030698.33623="",7526.84009="",4953.44322=""),"-",(7526.84009-4953.44322)/1030698.33623*100)</f>
        <v>0.24967507752197893</v>
      </c>
    </row>
    <row r="12" spans="1:7" s="16" customFormat="1" ht="13.5" customHeight="1">
      <c r="A12" s="14" t="s">
        <v>35</v>
      </c>
      <c r="B12" s="24">
        <f>IF(14166.03856="","-",14166.03856)</f>
        <v>14166.03856</v>
      </c>
      <c r="C12" s="24">
        <f>IF(OR(13279.53148="",14166.03856=""),"-",14166.03856/13279.53148*100)</f>
        <v>106.67574064141607</v>
      </c>
      <c r="D12" s="24">
        <f>IF(13279.53148="","-",13279.53148/1030698.33623*100)</f>
        <v>1.2884013695581125</v>
      </c>
      <c r="E12" s="24">
        <f>IF(14166.03856="","-",14166.03856/1326198.65303*100)</f>
        <v>1.0681686734965754</v>
      </c>
      <c r="F12" s="24">
        <f>IF(OR(861112.79978="",8847.61112="",13279.53148=""),"-",(13279.53148-8847.61112)/861112.79978*100)</f>
        <v>0.514673613158727</v>
      </c>
      <c r="G12" s="24">
        <f>IF(OR(1030698.33623="",14166.03856="",13279.53148=""),"-",(14166.03856-13279.53148)/1030698.33623*100)</f>
        <v>0.0860103338521522</v>
      </c>
    </row>
    <row r="13" spans="1:7" s="16" customFormat="1" ht="14.25" customHeight="1">
      <c r="A13" s="14" t="s">
        <v>36</v>
      </c>
      <c r="B13" s="24">
        <f>IF(12369.3782="","-",12369.3782)</f>
        <v>12369.3782</v>
      </c>
      <c r="C13" s="24">
        <f>IF(OR(9606.89351="",12369.3782=""),"-",12369.3782/9606.89351*100)</f>
        <v>128.75523380294032</v>
      </c>
      <c r="D13" s="24">
        <f>IF(9606.89351="","-",9606.89351/1030698.33623*100)</f>
        <v>0.93207616353969</v>
      </c>
      <c r="E13" s="24">
        <f>IF(12369.3782="","-",12369.3782/1326198.65303*100)</f>
        <v>0.9326942213173995</v>
      </c>
      <c r="F13" s="24">
        <f>IF(OR(861112.79978="",9409.23535="",9606.89351=""),"-",(9606.89351-9409.23535)/861112.79978*100)</f>
        <v>0.02295380582549666</v>
      </c>
      <c r="G13" s="24">
        <f>IF(OR(1030698.33623="",12369.3782="",9606.89351=""),"-",(12369.3782-9606.89351)/1030698.33623*100)</f>
        <v>0.2680206800473142</v>
      </c>
    </row>
    <row r="14" spans="1:7" s="16" customFormat="1" ht="15.75" customHeight="1">
      <c r="A14" s="14" t="s">
        <v>37</v>
      </c>
      <c r="B14" s="24">
        <f>IF(25887.00138="","-",25887.00138)</f>
        <v>25887.00138</v>
      </c>
      <c r="C14" s="24">
        <f>IF(OR(19263.24184="",25887.00138=""),"-",25887.00138/19263.24184*100)</f>
        <v>134.38548711071988</v>
      </c>
      <c r="D14" s="24">
        <f>IF(19263.24184="","-",19263.24184/1030698.33623*100)</f>
        <v>1.868950512762001</v>
      </c>
      <c r="E14" s="24">
        <f>IF(25887.00138="","-",25887.00138/1326198.65303*100)</f>
        <v>1.9519701155520937</v>
      </c>
      <c r="F14" s="24">
        <f>IF(OR(861112.79978="",16294.15026="",19263.24184=""),"-",(19263.24184-16294.15026)/861112.79978*100)</f>
        <v>0.34479705571192903</v>
      </c>
      <c r="G14" s="24">
        <f>IF(OR(1030698.33623="",25887.00138="",19263.24184=""),"-",(25887.00138-19263.24184)/1030698.33623*100)</f>
        <v>0.6426477376715114</v>
      </c>
    </row>
    <row r="15" spans="1:7" s="16" customFormat="1" ht="14.25" customHeight="1">
      <c r="A15" s="14" t="s">
        <v>38</v>
      </c>
      <c r="B15" s="24">
        <f>IF(45741.78352="","-",45741.78352)</f>
        <v>45741.78352</v>
      </c>
      <c r="C15" s="24" t="s">
        <v>201</v>
      </c>
      <c r="D15" s="24">
        <f>IF(28356.04457="","-",28356.04457/1030698.33623*100)</f>
        <v>2.7511487671279555</v>
      </c>
      <c r="E15" s="24">
        <f>IF(45741.78352="","-",45741.78352/1326198.65303*100)</f>
        <v>3.4490898792192692</v>
      </c>
      <c r="F15" s="24">
        <f>IF(OR(861112.79978="",28370.79232="",28356.04457=""),"-",(28356.04457-28370.79232)/861112.79978*100)</f>
        <v>-0.001712638576940219</v>
      </c>
      <c r="G15" s="24">
        <f>IF(OR(1030698.33623="",45741.78352="",28356.04457=""),"-",(45741.78352-28356.04457)/1030698.33623*100)</f>
        <v>1.6867921814633042</v>
      </c>
    </row>
    <row r="16" spans="1:7" s="16" customFormat="1" ht="14.25" customHeight="1">
      <c r="A16" s="14" t="s">
        <v>39</v>
      </c>
      <c r="B16" s="24">
        <f>IF(5221.55287="","-",5221.55287)</f>
        <v>5221.55287</v>
      </c>
      <c r="C16" s="24">
        <f>IF(OR(13706.43497="",5221.55287=""),"-",5221.55287/13706.43497*100)</f>
        <v>38.09563085826978</v>
      </c>
      <c r="D16" s="24">
        <f>IF(13706.43497="","-",13706.43497/1030698.33623*100)</f>
        <v>1.32982022850005</v>
      </c>
      <c r="E16" s="24">
        <f>IF(5221.55287="","-",5221.55287/1326198.65303*100)</f>
        <v>0.39372328256179306</v>
      </c>
      <c r="F16" s="24">
        <f>IF(OR(861112.79978="",5122.29241="",13706.43497=""),"-",(13706.43497-5122.29241)/861112.79978*100)</f>
        <v>0.9968662133686906</v>
      </c>
      <c r="G16" s="24">
        <f>IF(OR(1030698.33623="",5221.55287="",13706.43497=""),"-",(5221.55287-13706.43497)/1030698.33623*100)</f>
        <v>-0.8232168231720712</v>
      </c>
    </row>
    <row r="17" spans="1:7" s="16" customFormat="1" ht="25.5">
      <c r="A17" s="14" t="s">
        <v>40</v>
      </c>
      <c r="B17" s="24">
        <f>IF(12004.50981="","-",12004.50981)</f>
        <v>12004.50981</v>
      </c>
      <c r="C17" s="24">
        <f>IF(OR(9321.57283="",12004.50981=""),"-",12004.50981/9321.57283*100)</f>
        <v>128.7820202548372</v>
      </c>
      <c r="D17" s="24">
        <f>IF(9321.57283="","-",9321.57283/1030698.33623*100)</f>
        <v>0.9043938951231502</v>
      </c>
      <c r="E17" s="24">
        <f>IF(12004.50981="","-",12004.50981/1326198.65303*100)</f>
        <v>0.9051818732113013</v>
      </c>
      <c r="F17" s="24">
        <f>IF(OR(861112.79978="",9444.55743="",9321.57283=""),"-",(9321.57283-9444.55743)/861112.79978*100)</f>
        <v>-0.01428205457303876</v>
      </c>
      <c r="G17" s="24">
        <f>IF(OR(1030698.33623="",12004.50981="",9321.57283=""),"-",(12004.50981-9321.57283)/1030698.33623*100)</f>
        <v>0.2603028340778561</v>
      </c>
    </row>
    <row r="18" spans="1:7" s="16" customFormat="1" ht="25.5">
      <c r="A18" s="14" t="s">
        <v>41</v>
      </c>
      <c r="B18" s="24">
        <f>IF(8597.12363="","-",8597.12363)</f>
        <v>8597.12363</v>
      </c>
      <c r="C18" s="24">
        <f>IF(OR(6405.01065="",8597.12363=""),"-",8597.12363/6405.01065*100)</f>
        <v>134.2249701021184</v>
      </c>
      <c r="D18" s="24">
        <f>IF(6405.01065="","-",6405.01065/1030698.33623*100)</f>
        <v>0.6214243707259389</v>
      </c>
      <c r="E18" s="24">
        <f>IF(8597.12363="","-",8597.12363/1326198.65303*100)</f>
        <v>0.6482530811170659</v>
      </c>
      <c r="F18" s="24">
        <f>IF(OR(861112.79978="",5927.12928="",6405.01065=""),"-",(6405.01065-5927.12928)/861112.79978*100)</f>
        <v>0.055495792203076155</v>
      </c>
      <c r="G18" s="24">
        <f>IF(OR(1030698.33623="",8597.12363="",6405.01065=""),"-",(8597.12363-6405.01065)/1030698.33623*100)</f>
        <v>0.21268230508823005</v>
      </c>
    </row>
    <row r="19" spans="1:7" s="16" customFormat="1" ht="13.5" customHeight="1">
      <c r="A19" s="14" t="s">
        <v>42</v>
      </c>
      <c r="B19" s="24">
        <f>IF(16599.01934="","-",16599.01934)</f>
        <v>16599.01934</v>
      </c>
      <c r="C19" s="24">
        <f>IF(OR(15390.08081="",16599.01934=""),"-",16599.01934/15390.08081*100)</f>
        <v>107.85530982536797</v>
      </c>
      <c r="D19" s="24">
        <f>IF(15390.08081="","-",15390.08081/1030698.33623*100)</f>
        <v>1.4931702389559023</v>
      </c>
      <c r="E19" s="24">
        <f>IF(16599.01934="","-",16599.01934/1326198.65303*100)</f>
        <v>1.2516239028048926</v>
      </c>
      <c r="F19" s="24">
        <f>IF(OR(861112.79978="",13274.77393="",15390.08081=""),"-",(15390.08081-13274.77393)/861112.79978*100)</f>
        <v>0.2456480591788237</v>
      </c>
      <c r="G19" s="24">
        <f>IF(OR(1030698.33623="",16599.01934="",15390.08081=""),"-",(16599.01934-15390.08081)/1030698.33623*100)</f>
        <v>0.11729314849017328</v>
      </c>
    </row>
    <row r="20" spans="1:7" s="16" customFormat="1" ht="13.5" customHeight="1">
      <c r="A20" s="15" t="s">
        <v>43</v>
      </c>
      <c r="B20" s="23">
        <f>IF(16654.73486="","-",16654.73486)</f>
        <v>16654.73486</v>
      </c>
      <c r="C20" s="23">
        <f>IF(17465.72684="","-",16654.73486/17465.72684*100)</f>
        <v>95.35666630178444</v>
      </c>
      <c r="D20" s="23">
        <f>IF(17465.72684="","-",17465.72684/1030698.33623*100)</f>
        <v>1.6945527343999252</v>
      </c>
      <c r="E20" s="23">
        <f>IF(16654.73486="","-",16654.73486/1326198.65303*100)</f>
        <v>1.2558250471713648</v>
      </c>
      <c r="F20" s="23">
        <f>IF(861112.79978="","-",(17465.72684-22374.29961)/861112.79978*100)</f>
        <v>-0.5700266877061934</v>
      </c>
      <c r="G20" s="23">
        <f>IF(1030698.33623="","-",(16654.73486-17465.72684)/1030698.33623*100)</f>
        <v>-0.07868373815042487</v>
      </c>
    </row>
    <row r="21" spans="1:7" s="16" customFormat="1" ht="15" customHeight="1">
      <c r="A21" s="14" t="s">
        <v>44</v>
      </c>
      <c r="B21" s="24">
        <f>IF(10807.90129="","-",10807.90129)</f>
        <v>10807.90129</v>
      </c>
      <c r="C21" s="24">
        <f>IF(OR(7652.22995="",10807.90129=""),"-",10807.90129/7652.22995*100)</f>
        <v>141.23858483892008</v>
      </c>
      <c r="D21" s="24">
        <f>IF(7652.22995="","-",7652.22995/1030698.33623*100)</f>
        <v>0.7424315807076657</v>
      </c>
      <c r="E21" s="24">
        <f>IF(10807.90129="","-",10807.90129/1326198.65303*100)</f>
        <v>0.8149534208398501</v>
      </c>
      <c r="F21" s="24">
        <f>IF(OR(861112.79978="",8622.48807="",7652.22995=""),"-",(7652.22995-8622.48807)/861112.79978*100)</f>
        <v>-0.11267491555669414</v>
      </c>
      <c r="G21" s="24">
        <f>IF(OR(1030698.33623="",10807.90129="",7652.22995=""),"-",(10807.90129-7652.22995)/1030698.33623*100)</f>
        <v>0.306168277281066</v>
      </c>
    </row>
    <row r="22" spans="1:7" s="16" customFormat="1" ht="14.25" customHeight="1">
      <c r="A22" s="14" t="s">
        <v>45</v>
      </c>
      <c r="B22" s="24">
        <f>IF(5846.83357="","-",5846.83357)</f>
        <v>5846.83357</v>
      </c>
      <c r="C22" s="24">
        <f>IF(OR(9813.49689="",5846.83357=""),"-",5846.83357/9813.49689*100)</f>
        <v>59.579512130461374</v>
      </c>
      <c r="D22" s="24">
        <f>IF(9813.49689="","-",9813.49689/1030698.33623*100)</f>
        <v>0.9521211536922595</v>
      </c>
      <c r="E22" s="24">
        <f>IF(5846.83357="","-",5846.83357/1326198.65303*100)</f>
        <v>0.4408716263315145</v>
      </c>
      <c r="F22" s="24">
        <f>IF(OR(861112.79978="",13751.81154="",9813.49689=""),"-",(9813.49689-13751.81154)/861112.79978*100)</f>
        <v>-0.4573517721494994</v>
      </c>
      <c r="G22" s="24">
        <f>IF(OR(1030698.33623="",5846.83357="",9813.49689=""),"-",(5846.83357-9813.49689)/1030698.33623*100)</f>
        <v>-0.384852015431491</v>
      </c>
    </row>
    <row r="23" spans="1:7" s="16" customFormat="1" ht="25.5">
      <c r="A23" s="15" t="s">
        <v>46</v>
      </c>
      <c r="B23" s="23">
        <f>IF(48434.83374="","-",48434.83374)</f>
        <v>48434.83374</v>
      </c>
      <c r="C23" s="23">
        <f>IF(37894.55193="","-",48434.83374/37894.55193*100)</f>
        <v>127.81476827980534</v>
      </c>
      <c r="D23" s="23">
        <f>IF(37894.55193="","-",37894.55193/1030698.33623*100)</f>
        <v>3.6765899970894926</v>
      </c>
      <c r="E23" s="23">
        <f>IF(48434.83374="","-",48434.83374/1326198.65303*100)</f>
        <v>3.6521552505983697</v>
      </c>
      <c r="F23" s="23">
        <f>IF(861112.79978="","-",(37894.55193-32484.33542)/861112.79978*100)</f>
        <v>0.6282819755300608</v>
      </c>
      <c r="G23" s="23">
        <f>IF(1030698.33623="","-",(48434.83374-37894.55193)/1030698.33623*100)</f>
        <v>1.022634988288944</v>
      </c>
    </row>
    <row r="24" spans="1:7" s="16" customFormat="1" ht="14.25" customHeight="1">
      <c r="A24" s="14" t="s">
        <v>48</v>
      </c>
      <c r="B24" s="24">
        <f>IF(25206.32676="","-",25206.32676)</f>
        <v>25206.32676</v>
      </c>
      <c r="C24" s="24">
        <f>IF(OR(19086.1525499999="",25206.32676=""),"-",25206.32676/19086.1525499999*100)</f>
        <v>132.0660447094673</v>
      </c>
      <c r="D24" s="24">
        <f>IF(19086.1525499999="","-",19086.1525499999/1030698.33623*100)</f>
        <v>1.8517690267951332</v>
      </c>
      <c r="E24" s="24">
        <f>IF(25206.32676="","-",25206.32676/1326198.65303*100)</f>
        <v>1.9006448771766178</v>
      </c>
      <c r="F24" s="24">
        <f>IF(OR(861112.79978="",15559.64424="",19086.1525499999=""),"-",(19086.1525499999-15559.64424)/861112.79978*100)</f>
        <v>0.4095291941892938</v>
      </c>
      <c r="G24" s="24">
        <f>IF(OR(1030698.33623="",25206.32676="",19086.1525499999=""),"-",(25206.32676-19086.1525499999)/1030698.33623*100)</f>
        <v>0.5937890840481947</v>
      </c>
    </row>
    <row r="25" spans="1:7" s="16" customFormat="1" ht="25.5">
      <c r="A25" s="14" t="s">
        <v>49</v>
      </c>
      <c r="B25" s="24">
        <f>IF(191.64982="","-",191.64982)</f>
        <v>191.64982</v>
      </c>
      <c r="C25" s="24">
        <f>IF(OR(158.88736="",191.64982=""),"-",191.64982/158.88736*100)</f>
        <v>120.61992848266847</v>
      </c>
      <c r="D25" s="24">
        <f>IF(158.88736="","-",158.88736/1030698.33623*100)</f>
        <v>0.01541550562516328</v>
      </c>
      <c r="E25" s="24">
        <f>IF(191.64982="","-",191.64982/1326198.65303*100)</f>
        <v>0.014451064292829191</v>
      </c>
      <c r="F25" s="24">
        <f>IF(OR(861112.79978="",150.46539="",158.88736=""),"-",(158.88736-150.46539)/861112.79978*100)</f>
        <v>0.00097803330784906</v>
      </c>
      <c r="G25" s="24">
        <f>IF(OR(1030698.33623="",191.64982="",158.88736=""),"-",(191.64982-158.88736)/1030698.33623*100)</f>
        <v>0.003178666235150405</v>
      </c>
    </row>
    <row r="26" spans="1:7" s="16" customFormat="1" ht="13.5" customHeight="1">
      <c r="A26" s="14" t="s">
        <v>50</v>
      </c>
      <c r="B26" s="24">
        <f>IF(5549.50431="","-",5549.50431)</f>
        <v>5549.50431</v>
      </c>
      <c r="C26" s="24">
        <f>IF(OR(5368.94608="",5549.50431=""),"-",5549.50431/5368.94608*100)</f>
        <v>103.36301067862468</v>
      </c>
      <c r="D26" s="24">
        <f>IF(5368.94608="","-",5368.94608/1030698.33623*100)</f>
        <v>0.5209037301484418</v>
      </c>
      <c r="E26" s="24">
        <f>IF(5549.50431="","-",5549.50431/1326198.65303*100)</f>
        <v>0.4184519639890228</v>
      </c>
      <c r="F26" s="24">
        <f>IF(OR(861112.79978="",4480.10743="",5368.94608=""),"-",(5368.94608-4480.10743)/861112.79978*100)</f>
        <v>0.10321976984049978</v>
      </c>
      <c r="G26" s="24">
        <f>IF(OR(1030698.33623="",5549.50431="",5368.94608=""),"-",(5549.50431-5368.94608)/1030698.33623*100)</f>
        <v>0.01751804807024633</v>
      </c>
    </row>
    <row r="27" spans="1:7" s="16" customFormat="1" ht="15" customHeight="1">
      <c r="A27" s="14" t="s">
        <v>51</v>
      </c>
      <c r="B27" s="24">
        <f>IF(123.71114="","-",123.71114)</f>
        <v>123.71114</v>
      </c>
      <c r="C27" s="24">
        <f>IF(OR(112.13968="",123.71114=""),"-",123.71114/112.13968*100)</f>
        <v>110.3187917069141</v>
      </c>
      <c r="D27" s="24">
        <f>IF(112.13968="","-",112.13968/1030698.33623*100)</f>
        <v>0.010879970992305556</v>
      </c>
      <c r="E27" s="24">
        <f>IF(123.71114="","-",123.71114/1326198.65303*100)</f>
        <v>0.009328251066863474</v>
      </c>
      <c r="F27" s="24">
        <f>IF(OR(861112.79978="",151.39258="",112.13968=""),"-",(112.13968-151.39258)/861112.79978*100)</f>
        <v>-0.004558392351156373</v>
      </c>
      <c r="G27" s="24">
        <f>IF(OR(1030698.33623="",123.71114="",112.13968=""),"-",(123.71114-112.13968)/1030698.33623*100)</f>
        <v>0.0011226815444686847</v>
      </c>
    </row>
    <row r="28" spans="1:7" s="16" customFormat="1" ht="38.25">
      <c r="A28" s="14" t="s">
        <v>52</v>
      </c>
      <c r="B28" s="24">
        <f>IF(2430.14847="","-",2430.14847)</f>
        <v>2430.14847</v>
      </c>
      <c r="C28" s="24">
        <f>IF(OR(1912.9045="",2430.14847=""),"-",2430.14847/1912.9045*100)</f>
        <v>127.03971735128438</v>
      </c>
      <c r="D28" s="24">
        <f>IF(1912.9045="","-",1912.9045/1030698.33623*100)</f>
        <v>0.18559305208513852</v>
      </c>
      <c r="E28" s="24">
        <f>IF(2430.14847="","-",2430.14847/1326198.65303*100)</f>
        <v>0.18324166326423103</v>
      </c>
      <c r="F28" s="24">
        <f>IF(OR(861112.79978="",1575.03216="",1912.9045=""),"-",(1912.9045-1575.03216)/861112.79978*100)</f>
        <v>0.03923671092641067</v>
      </c>
      <c r="G28" s="24">
        <f>IF(OR(1030698.33623="",2430.14847="",1912.9045=""),"-",(2430.14847-1912.9045)/1030698.33623*100)</f>
        <v>0.05018383670744349</v>
      </c>
    </row>
    <row r="29" spans="1:7" s="16" customFormat="1" ht="38.25">
      <c r="A29" s="14" t="s">
        <v>53</v>
      </c>
      <c r="B29" s="24">
        <f>IF(2411.32281="","-",2411.32281)</f>
        <v>2411.32281</v>
      </c>
      <c r="C29" s="24">
        <f>IF(OR(1650.96773="",2411.32281=""),"-",2411.32281/1650.96773*100)</f>
        <v>146.05511459633436</v>
      </c>
      <c r="D29" s="24">
        <f>IF(1650.96773="","-",1650.96773/1030698.33623*100)</f>
        <v>0.16017952799252283</v>
      </c>
      <c r="E29" s="24">
        <f>IF(2411.32281="","-",2411.32281/1326198.65303*100)</f>
        <v>0.18182214289622367</v>
      </c>
      <c r="F29" s="24">
        <f>IF(OR(861112.79978="",1724.85974="",1650.96773=""),"-",(1650.96773-1724.85974)/861112.79978*100)</f>
        <v>-0.008580990785281347</v>
      </c>
      <c r="G29" s="24">
        <f>IF(OR(1030698.33623="",2411.32281="",1650.96773=""),"-",(2411.32281-1650.96773)/1030698.33623*100)</f>
        <v>0.07377086517682387</v>
      </c>
    </row>
    <row r="30" spans="1:7" s="16" customFormat="1" ht="14.25" customHeight="1">
      <c r="A30" s="14" t="s">
        <v>54</v>
      </c>
      <c r="B30" s="24">
        <f>IF(202.06858="","-",202.06858)</f>
        <v>202.06858</v>
      </c>
      <c r="C30" s="24">
        <f>IF(OR(305.73881="",202.06858=""),"-",202.06858/305.73881*100)</f>
        <v>66.09189719813457</v>
      </c>
      <c r="D30" s="24">
        <f>IF(305.73881="","-",305.73881/1030698.33623*100)</f>
        <v>0.02966326802450319</v>
      </c>
      <c r="E30" s="24">
        <f>IF(202.06858="","-",202.06858/1326198.65303*100)</f>
        <v>0.01523667510431629</v>
      </c>
      <c r="F30" s="24">
        <f>IF(OR(861112.79978="",207.51079="",305.73881=""),"-",(305.73881-207.51079)/861112.79978*100)</f>
        <v>0.011407102533500331</v>
      </c>
      <c r="G30" s="24">
        <f>IF(OR(1030698.33623="",202.06858="",305.73881=""),"-",(202.06858-305.73881)/1030698.33623*100)</f>
        <v>-0.010058251416141417</v>
      </c>
    </row>
    <row r="31" spans="1:7" s="16" customFormat="1" ht="25.5">
      <c r="A31" s="14" t="s">
        <v>55</v>
      </c>
      <c r="B31" s="24">
        <f>IF(12280.52887="","-",12280.52887)</f>
        <v>12280.52887</v>
      </c>
      <c r="C31" s="24">
        <f>IF(OR(9295.02263="",12280.52887=""),"-",12280.52887/9295.02263*100)</f>
        <v>132.1194079760944</v>
      </c>
      <c r="D31" s="24">
        <f>IF(9295.02263="","-",9295.02263/1030698.33623*100)</f>
        <v>0.9018179522825792</v>
      </c>
      <c r="E31" s="24">
        <f>IF(12280.52887="","-",12280.52887/1326198.65303*100)</f>
        <v>0.925994672211615</v>
      </c>
      <c r="F31" s="24">
        <f>IF(OR(861112.79978="",8632.04411="",9295.02263=""),"-",(9295.02263-8632.04411)/861112.79978*100)</f>
        <v>0.07699090295364076</v>
      </c>
      <c r="G31" s="24">
        <f>IF(OR(1030698.33623="",12280.52887="",9295.02263=""),"-",(12280.52887-9295.02263)/1030698.33623*100)</f>
        <v>0.2896585872953021</v>
      </c>
    </row>
    <row r="32" spans="1:7" s="16" customFormat="1" ht="25.5">
      <c r="A32" s="15" t="s">
        <v>56</v>
      </c>
      <c r="B32" s="23">
        <f>IF(226092.73617="","-",226092.73617)</f>
        <v>226092.73617</v>
      </c>
      <c r="C32" s="23">
        <f>IF(175595.5335="","-",226092.73617/175595.5335*100)</f>
        <v>128.75768059897717</v>
      </c>
      <c r="D32" s="23">
        <f>IF(175595.5335="","-",175595.5335/1030698.33623*100)</f>
        <v>17.03655932367935</v>
      </c>
      <c r="E32" s="23">
        <f>IF(226092.73617="","-",226092.73617/1326198.65303*100)</f>
        <v>17.04818019935702</v>
      </c>
      <c r="F32" s="23">
        <f>IF(861112.79978="","-",(175595.5335-156565.99337)/861112.79978*100)</f>
        <v>2.2098777459656516</v>
      </c>
      <c r="G32" s="23">
        <f>IF(1030698.33623="","-",(226092.73617-175595.5335)/1030698.33623*100)</f>
        <v>4.8993193153589765</v>
      </c>
    </row>
    <row r="33" spans="1:7" s="16" customFormat="1" ht="14.25" customHeight="1">
      <c r="A33" s="14" t="s">
        <v>57</v>
      </c>
      <c r="B33" s="24">
        <f>IF(1648.78424="","-",1648.78424)</f>
        <v>1648.78424</v>
      </c>
      <c r="C33" s="24">
        <f>IF(OR(3402.01981="",1648.78424=""),"-",1648.78424/3402.01981*100)</f>
        <v>48.46486299560966</v>
      </c>
      <c r="D33" s="24">
        <f>IF(3402.01981="","-",3402.01981/1030698.33623*100)</f>
        <v>0.3300693995920878</v>
      </c>
      <c r="E33" s="24">
        <f>IF(1648.78424="","-",1648.78424/1326198.65303*100)</f>
        <v>0.12432407740974405</v>
      </c>
      <c r="F33" s="24">
        <f>IF(OR(861112.79978="",587.75139="",3402.01981=""),"-",(3402.01981-587.75139)/861112.79978*100)</f>
        <v>0.32681762722827934</v>
      </c>
      <c r="G33" s="24">
        <f>IF(OR(1030698.33623="",1648.78424="",3402.01981=""),"-",(1648.78424-3402.01981)/1030698.33623*100)</f>
        <v>-0.17010171728935106</v>
      </c>
    </row>
    <row r="34" spans="1:7" s="16" customFormat="1" ht="25.5">
      <c r="A34" s="14" t="s">
        <v>58</v>
      </c>
      <c r="B34" s="24">
        <f>IF(110608.47849="","-",110608.47849)</f>
        <v>110608.47849</v>
      </c>
      <c r="C34" s="24">
        <f>IF(OR(94651.6311="",110608.47849=""),"-",110608.47849/94651.6311*100)</f>
        <v>116.85850228311597</v>
      </c>
      <c r="D34" s="24">
        <f>IF(94651.6311="","-",94651.6311/1030698.33623*100)</f>
        <v>9.183252535965918</v>
      </c>
      <c r="E34" s="24">
        <f>IF(110608.47849="","-",110608.47849/1326198.65303*100)</f>
        <v>8.340264728612864</v>
      </c>
      <c r="F34" s="24">
        <f>IF(OR(861112.79978="",54274.58295="",94651.6311=""),"-",(94651.6311-54274.58295)/861112.79978*100)</f>
        <v>4.688938331925349</v>
      </c>
      <c r="G34" s="24">
        <f>IF(OR(1030698.33623="",110608.47849="",94651.6311=""),"-",(110608.47849-94651.6311)/1030698.33623*100)</f>
        <v>1.5481588384401186</v>
      </c>
    </row>
    <row r="35" spans="1:7" s="16" customFormat="1" ht="25.5">
      <c r="A35" s="14" t="s">
        <v>59</v>
      </c>
      <c r="B35" s="24">
        <f>IF(105705.2755="","-",105705.2755)</f>
        <v>105705.2755</v>
      </c>
      <c r="C35" s="24">
        <f>IF(OR(77540.80872="",105705.2755=""),"-",105705.2755/77540.80872*100)</f>
        <v>136.32212153177554</v>
      </c>
      <c r="D35" s="24">
        <f>IF(77540.80872="","-",77540.80872/1030698.33623*100)</f>
        <v>7.523133199537521</v>
      </c>
      <c r="E35" s="24">
        <f>IF(105705.2755="","-",105705.2755/1326198.65303*100)</f>
        <v>7.970546136394609</v>
      </c>
      <c r="F35" s="24">
        <f>IF(OR(861112.79978="",101452.17538="",77540.80872=""),"-",(77540.80872-101452.17538)/861112.79978*100)</f>
        <v>-2.776798424795097</v>
      </c>
      <c r="G35" s="24">
        <f>IF(OR(1030698.33623="",105705.2755="",77540.80872=""),"-",(105705.2755-77540.80872)/1030698.33623*100)</f>
        <v>2.732561583733372</v>
      </c>
    </row>
    <row r="36" spans="1:7" s="16" customFormat="1" ht="13.5" customHeight="1">
      <c r="A36" s="14" t="s">
        <v>60</v>
      </c>
      <c r="B36" s="24">
        <f>IF(8130.19794="","-",8130.19794)</f>
        <v>8130.19794</v>
      </c>
      <c r="C36" s="24" t="s">
        <v>293</v>
      </c>
      <c r="D36" s="24">
        <f>IF(1.07387="","-",1.07387/1030698.33623*100)</f>
        <v>0.00010418858382248967</v>
      </c>
      <c r="E36" s="24">
        <f>IF(8130.19794="","-",8130.19794/1326198.65303*100)</f>
        <v>0.6130452569398053</v>
      </c>
      <c r="F36" s="24">
        <f>IF(OR(861112.79978="",251.48365="",1.07387=""),"-",(1.07387-251.48365)/861112.79978*100)</f>
        <v>-0.029079788392876702</v>
      </c>
      <c r="G36" s="24">
        <f>IF(OR(1030698.33623="",8130.19794="",1.07387=""),"-",(8130.19794-1.07387)/1030698.33623*100)</f>
        <v>0.7887006104748372</v>
      </c>
    </row>
    <row r="37" spans="1:7" s="16" customFormat="1" ht="28.5" customHeight="1">
      <c r="A37" s="15" t="s">
        <v>61</v>
      </c>
      <c r="B37" s="23">
        <f>IF(2833.4352="","-",2833.4352)</f>
        <v>2833.4352</v>
      </c>
      <c r="C37" s="23">
        <f>IF(2655.44812="","-",2833.4352/2655.44812*100)</f>
        <v>106.70271351413183</v>
      </c>
      <c r="D37" s="23">
        <f>IF(2655.44812="","-",2655.44812/1030698.33623*100)</f>
        <v>0.25763582094377585</v>
      </c>
      <c r="E37" s="23">
        <f>IF(2833.4352="","-",2833.4352/1326198.65303*100)</f>
        <v>0.21365088808726942</v>
      </c>
      <c r="F37" s="23">
        <f>IF(861112.79978="","-",(2655.44812-1736.52995)/861112.79978*100)</f>
        <v>0.10671286853879867</v>
      </c>
      <c r="G37" s="23">
        <f>IF(1030698.33623="","-",(2833.4352-2655.44812)/1030698.33623*100)</f>
        <v>0.017268590987642978</v>
      </c>
    </row>
    <row r="38" spans="1:7" s="16" customFormat="1" ht="15" customHeight="1">
      <c r="A38" s="14" t="s">
        <v>62</v>
      </c>
      <c r="B38" s="24">
        <f>IF(361.75012="","-",361.75012)</f>
        <v>361.75012</v>
      </c>
      <c r="C38" s="24" t="s">
        <v>175</v>
      </c>
      <c r="D38" s="24">
        <f>IF(169.4773="","-",169.4773/1030698.33623*100)</f>
        <v>0.016442958530417304</v>
      </c>
      <c r="E38" s="24">
        <f>IF(361.75012="","-",361.75012/1326198.65303*100)</f>
        <v>0.027277219681493436</v>
      </c>
      <c r="F38" s="24">
        <f>IF(OR(861112.79978="",133.34055="",169.4773=""),"-",(169.4773-133.34055)/861112.79978*100)</f>
        <v>0.004196517576934444</v>
      </c>
      <c r="G38" s="24">
        <f>IF(OR(1030698.33623="",361.75012="",169.4773=""),"-",(361.75012-169.4773)/1030698.33623*100)</f>
        <v>0.01865461631608711</v>
      </c>
    </row>
    <row r="39" spans="1:7" s="16" customFormat="1" ht="25.5">
      <c r="A39" s="14" t="s">
        <v>107</v>
      </c>
      <c r="B39" s="24">
        <f>IF(1779.25483="","-",1779.25483)</f>
        <v>1779.25483</v>
      </c>
      <c r="C39" s="24">
        <f>IF(OR(1880.87649="",1779.25483=""),"-",1779.25483/1880.87649*100)</f>
        <v>94.59711147753248</v>
      </c>
      <c r="D39" s="24">
        <f>IF(1880.87649="","-",1880.87649/1030698.33623*100)</f>
        <v>0.1824856433628979</v>
      </c>
      <c r="E39" s="24">
        <f>IF(1779.25483="","-",1779.25483/1326198.65303*100)</f>
        <v>0.13416201456206361</v>
      </c>
      <c r="F39" s="24">
        <f>IF(OR(861112.79978="",1279.70861="",1880.87649=""),"-",(1880.87649-1279.70861)/861112.79978*100)</f>
        <v>0.06981290722348901</v>
      </c>
      <c r="G39" s="24">
        <f>IF(OR(1030698.33623="",1779.25483="",1880.87649=""),"-",(1779.25483-1880.87649)/1030698.33623*100)</f>
        <v>-0.00985949588040503</v>
      </c>
    </row>
    <row r="40" spans="1:7" s="16" customFormat="1" ht="25.5">
      <c r="A40" s="14" t="s">
        <v>108</v>
      </c>
      <c r="B40" s="24">
        <f>IF(692.43025="","-",692.43025)</f>
        <v>692.43025</v>
      </c>
      <c r="C40" s="24">
        <f>IF(OR(605.09433="",692.43025=""),"-",692.43025/605.09433*100)</f>
        <v>114.43343883258666</v>
      </c>
      <c r="D40" s="24">
        <f>IF(605.09433="","-",605.09433/1030698.33623*100)</f>
        <v>0.058707219050460696</v>
      </c>
      <c r="E40" s="24">
        <f>IF(692.43025="","-",692.43025/1326198.65303*100)</f>
        <v>0.052211653843712395</v>
      </c>
      <c r="F40" s="24">
        <f>IF(OR(861112.79978="",323.48079="",605.09433=""),"-",(605.09433-323.48079)/861112.79978*100)</f>
        <v>0.03270344373837522</v>
      </c>
      <c r="G40" s="24">
        <f>IF(OR(1030698.33623="",692.43025="",605.09433=""),"-",(692.43025-605.09433)/1030698.33623*100)</f>
        <v>0.0084734705519609</v>
      </c>
    </row>
    <row r="41" spans="1:7" s="16" customFormat="1" ht="27" customHeight="1">
      <c r="A41" s="15" t="s">
        <v>65</v>
      </c>
      <c r="B41" s="23">
        <f>IF(196692.64246="","-",196692.64246)</f>
        <v>196692.64246</v>
      </c>
      <c r="C41" s="23">
        <f>IF(170915.52289="","-",196692.64246/170915.52289*100)</f>
        <v>115.08178960818556</v>
      </c>
      <c r="D41" s="23">
        <f>IF(170915.52289="","-",170915.52289/1030698.33623*100)</f>
        <v>16.58249721399184</v>
      </c>
      <c r="E41" s="23">
        <f>IF(196692.64246="","-",196692.64246/1326198.65303*100)</f>
        <v>14.831310679633953</v>
      </c>
      <c r="F41" s="23">
        <f>IF(861112.79978="","-",(170915.52289-133525.58868)/861112.79978*100)</f>
        <v>4.342048361091893</v>
      </c>
      <c r="G41" s="23">
        <f>IF(1030698.33623="","-",(196692.64246-170915.52289)/1030698.33623*100)</f>
        <v>2.500937341597479</v>
      </c>
    </row>
    <row r="42" spans="1:7" s="16" customFormat="1" ht="14.25" customHeight="1">
      <c r="A42" s="14" t="s">
        <v>66</v>
      </c>
      <c r="B42" s="24">
        <f>IF(5403.22984="","-",5403.22984)</f>
        <v>5403.22984</v>
      </c>
      <c r="C42" s="24">
        <f>IF(OR(4510.11966="",5403.22984=""),"-",5403.22984/4510.11966*100)</f>
        <v>119.80236107527134</v>
      </c>
      <c r="D42" s="24">
        <f>IF(4510.11966="","-",4510.11966/1030698.33623*100)</f>
        <v>0.437579018172934</v>
      </c>
      <c r="E42" s="24">
        <f>IF(5403.22984="","-",5403.22984/1326198.65303*100)</f>
        <v>0.4074223592110506</v>
      </c>
      <c r="F42" s="24">
        <f>IF(OR(861112.79978="",3199.18148="",4510.11966=""),"-",(4510.11966-3199.18148)/861112.79978*100)</f>
        <v>0.152237683650147</v>
      </c>
      <c r="G42" s="24">
        <f>IF(OR(1030698.33623="",5403.22984="",4510.11966=""),"-",(5403.22984-4510.11966)/1030698.33623*100)</f>
        <v>0.08665097716823154</v>
      </c>
    </row>
    <row r="43" spans="1:7" s="16" customFormat="1" ht="14.25" customHeight="1">
      <c r="A43" s="14" t="s">
        <v>67</v>
      </c>
      <c r="B43" s="24">
        <f>IF(2715.1893="","-",2715.1893)</f>
        <v>2715.1893</v>
      </c>
      <c r="C43" s="24">
        <f>IF(OR(2872.79082="",2715.1893=""),"-",2715.1893/2872.79082*100)</f>
        <v>94.51399249458754</v>
      </c>
      <c r="D43" s="24">
        <f>IF(2872.79082="","-",2872.79082/1030698.33623*100)</f>
        <v>0.2787227570879612</v>
      </c>
      <c r="E43" s="24">
        <f>IF(2715.1893="","-",2715.1893/1326198.65303*100)</f>
        <v>0.20473473516177515</v>
      </c>
      <c r="F43" s="24">
        <f>IF(OR(861112.79978="",3068.52829="",2872.79082=""),"-",(2872.79082-3068.52829)/861112.79978*100)</f>
        <v>-0.022730758391932823</v>
      </c>
      <c r="G43" s="24">
        <f>IF(OR(1030698.33623="",2715.1893="",2872.79082=""),"-",(2715.1893-2872.79082)/1030698.33623*100)</f>
        <v>-0.01529075137313809</v>
      </c>
    </row>
    <row r="44" spans="1:7" s="16" customFormat="1" ht="15" customHeight="1">
      <c r="A44" s="14" t="s">
        <v>68</v>
      </c>
      <c r="B44" s="24">
        <f>IF(5845.0416="","-",5845.0416)</f>
        <v>5845.0416</v>
      </c>
      <c r="C44" s="24">
        <f>IF(OR(4728.85589="",5845.0416=""),"-",5845.0416/4728.85589*100)</f>
        <v>123.60371590854294</v>
      </c>
      <c r="D44" s="24">
        <f>IF(4728.85589="","-",4728.85589/1030698.33623*100)</f>
        <v>0.458801156825071</v>
      </c>
      <c r="E44" s="24">
        <f>IF(5845.0416="","-",5845.0416/1326198.65303*100)</f>
        <v>0.4407365055488243</v>
      </c>
      <c r="F44" s="24">
        <f>IF(OR(861112.79978="",4437.22916="",4728.85589=""),"-",(4728.85589-4437.22916)/861112.79978*100)</f>
        <v>0.03386626352256124</v>
      </c>
      <c r="G44" s="24">
        <f>IF(OR(1030698.33623="",5845.0416="",4728.85589=""),"-",(5845.0416-4728.85589)/1030698.33623*100)</f>
        <v>0.10829412164209831</v>
      </c>
    </row>
    <row r="45" spans="1:7" s="16" customFormat="1" ht="15" customHeight="1">
      <c r="A45" s="14" t="s">
        <v>69</v>
      </c>
      <c r="B45" s="24">
        <f>IF(53641.51043="","-",53641.51043)</f>
        <v>53641.51043</v>
      </c>
      <c r="C45" s="24">
        <f>IF(OR(47942.86555="",53641.51043=""),"-",53641.51043/47942.86555*100)</f>
        <v>111.88632513852733</v>
      </c>
      <c r="D45" s="24">
        <f>IF(47942.86555="","-",47942.86555/1030698.33623*100)</f>
        <v>4.651493445246191</v>
      </c>
      <c r="E45" s="24">
        <f>IF(53641.51043="","-",53641.51043/1326198.65303*100)</f>
        <v>4.044756817347377</v>
      </c>
      <c r="F45" s="24">
        <f>IF(OR(861112.79978="",28065.2008="",47942.86555=""),"-",(47942.86555-28065.2008)/861112.79978*100)</f>
        <v>2.3083694441748417</v>
      </c>
      <c r="G45" s="24">
        <f>IF(OR(1030698.33623="",53641.51043="",47942.86555=""),"-",(53641.51043-47942.86555)/1030698.33623*100)</f>
        <v>0.5528916346992481</v>
      </c>
    </row>
    <row r="46" spans="1:7" s="16" customFormat="1" ht="38.25">
      <c r="A46" s="14" t="s">
        <v>70</v>
      </c>
      <c r="B46" s="24">
        <f>IF(26168.82507="","-",26168.82507)</f>
        <v>26168.82507</v>
      </c>
      <c r="C46" s="24">
        <f>IF(OR(24579.46254="",26168.82507=""),"-",26168.82507/24579.46254*100)</f>
        <v>106.46622165726167</v>
      </c>
      <c r="D46" s="24">
        <f>IF(24579.46254="","-",24579.46254/1030698.33623*100)</f>
        <v>2.3847387422691155</v>
      </c>
      <c r="E46" s="24">
        <f>IF(26168.82507="","-",26168.82507/1326198.65303*100)</f>
        <v>1.9732206038824889</v>
      </c>
      <c r="F46" s="24">
        <f>IF(OR(861112.79978="",24629.52466="",24579.46254=""),"-",(24579.46254-24629.52466)/861112.79978*100)</f>
        <v>-0.00581365414760862</v>
      </c>
      <c r="G46" s="24">
        <f>IF(OR(1030698.33623="",26168.82507="",24579.46254=""),"-",(26168.82507-24579.46254)/1030698.33623*100)</f>
        <v>0.15420249302171501</v>
      </c>
    </row>
    <row r="47" spans="1:7" s="16" customFormat="1" ht="15.75">
      <c r="A47" s="14" t="s">
        <v>71</v>
      </c>
      <c r="B47" s="24">
        <f>IF(29123.54568="","-",29123.54568)</f>
        <v>29123.54568</v>
      </c>
      <c r="C47" s="24">
        <f>IF(OR(19358.85491="",29123.54568=""),"-",29123.54568/19358.85491*100)</f>
        <v>150.44043573546264</v>
      </c>
      <c r="D47" s="24">
        <f>IF(19358.85491="","-",19358.85491/1030698.33623*100)</f>
        <v>1.8782270456367627</v>
      </c>
      <c r="E47" s="24">
        <f>IF(29123.54568="","-",29123.54568/1326198.65303*100)</f>
        <v>2.196016834541393</v>
      </c>
      <c r="F47" s="24">
        <f>IF(OR(861112.79978="",18329.47754="",19358.85491=""),"-",(19358.85491-18329.47754)/861112.79978*100)</f>
        <v>0.11954036338363419</v>
      </c>
      <c r="G47" s="24">
        <f>IF(OR(1030698.33623="",29123.54568="",19358.85491=""),"-",(29123.54568-19358.85491)/1030698.33623*100)</f>
        <v>0.9473859059204898</v>
      </c>
    </row>
    <row r="48" spans="1:7" s="16" customFormat="1" ht="14.25" customHeight="1">
      <c r="A48" s="14" t="s">
        <v>72</v>
      </c>
      <c r="B48" s="24">
        <f>IF(11541.14914="","-",11541.14914)</f>
        <v>11541.14914</v>
      </c>
      <c r="C48" s="24">
        <f>IF(OR(8237.3291="",11541.14914=""),"-",11541.14914/8237.3291*100)</f>
        <v>140.10790390783342</v>
      </c>
      <c r="D48" s="24">
        <f>IF(8237.3291="","-",8237.3291/1030698.33623*100)</f>
        <v>0.7991988354351862</v>
      </c>
      <c r="E48" s="24">
        <f>IF(11541.14914="","-",11541.14914/1326198.65303*100)</f>
        <v>0.8702428639654882</v>
      </c>
      <c r="F48" s="24">
        <f>IF(OR(861112.79978="",8480.69193="",8237.3291=""),"-",(8237.3291-8480.69193)/861112.79978*100)</f>
        <v>-0.028261434513826202</v>
      </c>
      <c r="G48" s="24">
        <f>IF(OR(1030698.33623="",11541.14914="",8237.3291=""),"-",(11541.14914-8237.3291)/1030698.33623*100)</f>
        <v>0.32054190094886814</v>
      </c>
    </row>
    <row r="49" spans="1:7" s="16" customFormat="1" ht="13.5" customHeight="1">
      <c r="A49" s="14" t="s">
        <v>73</v>
      </c>
      <c r="B49" s="24">
        <f>IF(22248.05967="","-",22248.05967)</f>
        <v>22248.05967</v>
      </c>
      <c r="C49" s="24">
        <f>IF(OR(17906.84469="",22248.05967=""),"-",22248.05967/17906.84469*100)</f>
        <v>124.2433273709261</v>
      </c>
      <c r="D49" s="24">
        <f>IF(17906.84469="","-",17906.84469/1030698.33623*100)</f>
        <v>1.7373506932686165</v>
      </c>
      <c r="E49" s="24">
        <f>IF(22248.05967="","-",22248.05967/1326198.65303*100)</f>
        <v>1.6775812295668744</v>
      </c>
      <c r="F49" s="24">
        <f>IF(OR(861112.79978="",14997.55407="",17906.84469=""),"-",(17906.84469-14997.55407)/861112.79978*100)</f>
        <v>0.33785244171765616</v>
      </c>
      <c r="G49" s="24">
        <f>IF(OR(1030698.33623="",22248.05967="",17906.84469=""),"-",(22248.05967-17906.84469)/1030698.33623*100)</f>
        <v>0.42119161615016487</v>
      </c>
    </row>
    <row r="50" spans="1:7" s="16" customFormat="1" ht="16.5" customHeight="1">
      <c r="A50" s="14" t="s">
        <v>74</v>
      </c>
      <c r="B50" s="24">
        <f>IF(40006.09173="","-",40006.09173)</f>
        <v>40006.09173</v>
      </c>
      <c r="C50" s="24">
        <f>IF(OR(40778.39973="",40006.09173=""),"-",40006.09173/40778.39973*100)</f>
        <v>98.10608556217613</v>
      </c>
      <c r="D50" s="24">
        <f>IF(40778.39973="","-",40778.39973/1030698.33623*100)</f>
        <v>3.9563855200500013</v>
      </c>
      <c r="E50" s="24">
        <f>IF(40006.09173="","-",40006.09173/1326198.65303*100)</f>
        <v>3.0165987304086808</v>
      </c>
      <c r="F50" s="24">
        <f>IF(OR(861112.79978="",28318.20075="",40778.39973=""),"-",(40778.39973-28318.20075)/861112.79978*100)</f>
        <v>1.4469880116964202</v>
      </c>
      <c r="G50" s="24">
        <f>IF(OR(1030698.33623="",40006.09173="",40778.39973=""),"-",(40006.09173-40778.39973)/1030698.33623*100)</f>
        <v>-0.07493055658019972</v>
      </c>
    </row>
    <row r="51" spans="1:7" s="16" customFormat="1" ht="27.75" customHeight="1">
      <c r="A51" s="15" t="s">
        <v>75</v>
      </c>
      <c r="B51" s="23">
        <f>IF(255586.42394="","-",255586.42394)</f>
        <v>255586.42394</v>
      </c>
      <c r="C51" s="23">
        <f>IF(185354.55507="","-",255586.42394/185354.55507*100)</f>
        <v>137.8905545879229</v>
      </c>
      <c r="D51" s="23">
        <f>IF(185354.55507="","-",185354.55507/1030698.33623*100)</f>
        <v>17.98339519475446</v>
      </c>
      <c r="E51" s="23">
        <f>IF(255586.42394="","-",255586.42394/1326198.65303*100)</f>
        <v>19.272107037362403</v>
      </c>
      <c r="F51" s="23">
        <f>IF(861112.79978="","-",(185354.55507-170735.46739)/861112.79978*100)</f>
        <v>1.6976971755308865</v>
      </c>
      <c r="G51" s="23">
        <f>IF(1030698.33623="","-",(255586.42394-185354.55507)/1030698.33623*100)</f>
        <v>6.814008173030346</v>
      </c>
    </row>
    <row r="52" spans="1:7" s="16" customFormat="1" ht="15.75">
      <c r="A52" s="14" t="s">
        <v>76</v>
      </c>
      <c r="B52" s="24">
        <f>IF(16247.75582="","-",16247.75582)</f>
        <v>16247.75582</v>
      </c>
      <c r="C52" s="24" t="s">
        <v>200</v>
      </c>
      <c r="D52" s="24">
        <f>IF(9507.01729="","-",9507.01729/1030698.33623*100)</f>
        <v>0.922386013037913</v>
      </c>
      <c r="E52" s="24">
        <f>IF(16247.75582="","-",16247.75582/1326198.65303*100)</f>
        <v>1.2251374093072964</v>
      </c>
      <c r="F52" s="24">
        <f>IF(OR(861112.79978="",8444.84297="",9507.01729=""),"-",(9507.01729-8444.84297)/861112.79978*100)</f>
        <v>0.1233490339792148</v>
      </c>
      <c r="G52" s="24">
        <f>IF(OR(1030698.33623="",16247.75582="",9507.01729=""),"-",(16247.75582-9507.01729)/1030698.33623*100)</f>
        <v>0.6539972262549386</v>
      </c>
    </row>
    <row r="53" spans="1:7" s="16" customFormat="1" ht="15" customHeight="1">
      <c r="A53" s="14" t="s">
        <v>77</v>
      </c>
      <c r="B53" s="24">
        <f>IF(14603.39932="","-",14603.39932)</f>
        <v>14603.39932</v>
      </c>
      <c r="C53" s="24">
        <f>IF(OR(11971.01885="",14603.39932=""),"-",14603.39932/11971.01885*100)</f>
        <v>121.98961093441099</v>
      </c>
      <c r="D53" s="24">
        <f>IF(11971.01885="","-",11971.01885/1030698.33623*100)</f>
        <v>1.1614473827314562</v>
      </c>
      <c r="E53" s="24">
        <f>IF(14603.39932="","-",14603.39932/1326198.65303*100)</f>
        <v>1.1011471989234223</v>
      </c>
      <c r="F53" s="24">
        <f>IF(OR(861112.79978="",13522.29606="",11971.01885=""),"-",(11971.01885-13522.29606)/861112.79978*100)</f>
        <v>-0.1801479678848492</v>
      </c>
      <c r="G53" s="24">
        <f>IF(OR(1030698.33623="",14603.39932="",11971.01885=""),"-",(14603.39932-11971.01885)/1030698.33623*100)</f>
        <v>0.2553977606705465</v>
      </c>
    </row>
    <row r="54" spans="1:7" s="16" customFormat="1" ht="13.5" customHeight="1">
      <c r="A54" s="14" t="s">
        <v>78</v>
      </c>
      <c r="B54" s="24">
        <f>IF(16180.98424="","-",16180.98424)</f>
        <v>16180.98424</v>
      </c>
      <c r="C54" s="24">
        <f>IF(OR(11671.88223="",16180.98424=""),"-",16180.98424/11671.88223*100)</f>
        <v>138.63217535223538</v>
      </c>
      <c r="D54" s="24">
        <f>IF(11671.88223="","-",11671.88223/1030698.33623*100)</f>
        <v>1.132424669733378</v>
      </c>
      <c r="E54" s="24">
        <f>IF(16180.98424="","-",16180.98424/1326198.65303*100)</f>
        <v>1.2201025994884622</v>
      </c>
      <c r="F54" s="24">
        <f>IF(OR(861112.79978="",9395.30761="",11671.88223=""),"-",(11671.88223-9395.30761)/861112.79978*100)</f>
        <v>0.264375889033542</v>
      </c>
      <c r="G54" s="24">
        <f>IF(OR(1030698.33623="",16180.98424="",11671.88223=""),"-",(16180.98424-11671.88223)/1030698.33623*100)</f>
        <v>0.43748028414337087</v>
      </c>
    </row>
    <row r="55" spans="1:7" s="16" customFormat="1" ht="25.5">
      <c r="A55" s="14" t="s">
        <v>79</v>
      </c>
      <c r="B55" s="24">
        <f>IF(23407.85868="","-",23407.85868)</f>
        <v>23407.85868</v>
      </c>
      <c r="C55" s="24">
        <f>IF(OR(18204.57615="",23407.85868=""),"-",23407.85868/18204.57615*100)</f>
        <v>128.58227781370235</v>
      </c>
      <c r="D55" s="24">
        <f>IF(18204.57615="","-",18204.57615/1030698.33623*100)</f>
        <v>1.7662370753975543</v>
      </c>
      <c r="E55" s="24">
        <f>IF(23407.85868="","-",23407.85868/1326198.65303*100)</f>
        <v>1.765034116609866</v>
      </c>
      <c r="F55" s="24">
        <f>IF(OR(861112.79978="",16237.35935="",18204.57615=""),"-",(18204.57615-16237.35935)/861112.79978*100)</f>
        <v>0.22845053522634798</v>
      </c>
      <c r="G55" s="24">
        <f>IF(OR(1030698.33623="",23407.85868="",18204.57615=""),"-",(23407.85868-18204.57615)/1030698.33623*100)</f>
        <v>0.5048307877387405</v>
      </c>
    </row>
    <row r="56" spans="1:7" s="16" customFormat="1" ht="25.5">
      <c r="A56" s="14" t="s">
        <v>80</v>
      </c>
      <c r="B56" s="24">
        <f>IF(77900.80335="","-",77900.80335)</f>
        <v>77900.80335</v>
      </c>
      <c r="C56" s="24">
        <f>IF(OR(61493.30268="",77900.80335=""),"-",77900.80335/61493.30268*100)</f>
        <v>126.68176850962398</v>
      </c>
      <c r="D56" s="24">
        <f>IF(61493.30268="","-",61493.30268/1030698.33623*100)</f>
        <v>5.966178513969949</v>
      </c>
      <c r="E56" s="24">
        <f>IF(77900.80335="","-",77900.80335/1326198.65303*100)</f>
        <v>5.873992042746994</v>
      </c>
      <c r="F56" s="24">
        <f>IF(OR(861112.79978="",55502.83205="",61493.30268=""),"-",(61493.30268-55502.83205)/861112.79978*100)</f>
        <v>0.6956661928066182</v>
      </c>
      <c r="G56" s="24">
        <f>IF(OR(1030698.33623="",77900.80335="",61493.30268=""),"-",(77900.80335-61493.30268)/1030698.33623*100)</f>
        <v>1.591881939968386</v>
      </c>
    </row>
    <row r="57" spans="1:7" s="16" customFormat="1" ht="13.5" customHeight="1">
      <c r="A57" s="14" t="s">
        <v>81</v>
      </c>
      <c r="B57" s="24">
        <f>IF(23497.0624="","-",23497.0624)</f>
        <v>23497.0624</v>
      </c>
      <c r="C57" s="24">
        <f>IF(OR(18127.45482="",23497.0624=""),"-",23497.0624/18127.45482*100)</f>
        <v>129.62140925639335</v>
      </c>
      <c r="D57" s="24">
        <f>IF(18127.45482="","-",18127.45482/1030698.33623*100)</f>
        <v>1.7587546406939054</v>
      </c>
      <c r="E57" s="24">
        <f>IF(23497.0624="","-",23497.0624/1326198.65303*100)</f>
        <v>1.7717603879566353</v>
      </c>
      <c r="F57" s="24">
        <f>IF(OR(861112.79978="",18651.08449="",18127.45482=""),"-",(18127.45482-18651.08449)/861112.79978*100)</f>
        <v>-0.060808487591147264</v>
      </c>
      <c r="G57" s="24">
        <f>IF(OR(1030698.33623="",23497.0624="",18127.45482=""),"-",(23497.0624-18127.45482)/1030698.33623*100)</f>
        <v>0.5209679099357519</v>
      </c>
    </row>
    <row r="58" spans="1:7" s="16" customFormat="1" ht="14.25" customHeight="1">
      <c r="A58" s="14" t="s">
        <v>82</v>
      </c>
      <c r="B58" s="24">
        <f>IF(24582.69753="","-",24582.69753)</f>
        <v>24582.69753</v>
      </c>
      <c r="C58" s="24">
        <f>IF(OR(17534.67229="",24582.69753=""),"-",24582.69753/17534.67229*100)</f>
        <v>140.1947930559243</v>
      </c>
      <c r="D58" s="24">
        <f>IF(17534.67229="","-",17534.67229/1030698.33623*100)</f>
        <v>1.7012419321580374</v>
      </c>
      <c r="E58" s="24">
        <f>IF(24582.69753="","-",24582.69753/1326198.65303*100)</f>
        <v>1.8536210599999694</v>
      </c>
      <c r="F58" s="24">
        <f>IF(OR(861112.79978="",15122.76363="",17534.67229=""),"-",(17534.67229-15122.76363)/861112.79978*100)</f>
        <v>0.2800920693103391</v>
      </c>
      <c r="G58" s="24">
        <f>IF(OR(1030698.33623="",24582.69753="",17534.67229=""),"-",(24582.69753-17534.67229)/1030698.33623*100)</f>
        <v>0.6838106740115314</v>
      </c>
    </row>
    <row r="59" spans="1:7" s="16" customFormat="1" ht="14.25" customHeight="1">
      <c r="A59" s="14" t="s">
        <v>83</v>
      </c>
      <c r="B59" s="24">
        <f>IF(25117.58586="","-",25117.58586)</f>
        <v>25117.58586</v>
      </c>
      <c r="C59" s="24" t="s">
        <v>25</v>
      </c>
      <c r="D59" s="24">
        <f>IF(12791.70801="","-",12791.70801/1030698.33623*100)</f>
        <v>1.2410719567849904</v>
      </c>
      <c r="E59" s="24">
        <f>IF(25117.58586="","-",25117.58586/1326198.65303*100)</f>
        <v>1.8939535040706916</v>
      </c>
      <c r="F59" s="24">
        <f>IF(OR(861112.79978="",11839.90515="",12791.70801=""),"-",(12791.70801-11839.90515)/861112.79978*100)</f>
        <v>0.11053172827568811</v>
      </c>
      <c r="G59" s="24">
        <f>IF(OR(1030698.33623="",25117.58586="",12791.70801=""),"-",(25117.58586-12791.70801)/1030698.33623*100)</f>
        <v>1.1958763701011237</v>
      </c>
    </row>
    <row r="60" spans="1:7" s="16" customFormat="1" ht="15" customHeight="1">
      <c r="A60" s="14" t="s">
        <v>84</v>
      </c>
      <c r="B60" s="24">
        <f>IF(34048.27674="","-",34048.27674)</f>
        <v>34048.27674</v>
      </c>
      <c r="C60" s="24">
        <f>IF(OR(24052.92275="",34048.27674=""),"-",34048.27674/24052.92275*100)</f>
        <v>141.55567327051762</v>
      </c>
      <c r="D60" s="24">
        <f>IF(24052.92275="","-",24052.92275/1030698.33623*100)</f>
        <v>2.3336530102472777</v>
      </c>
      <c r="E60" s="24">
        <f>IF(34048.27674="","-",34048.27674/1326198.65303*100)</f>
        <v>2.567358718259066</v>
      </c>
      <c r="F60" s="24">
        <f>IF(OR(861112.79978="",22019.07608="",24052.92275=""),"-",(24052.92275-22019.07608)/861112.79978*100)</f>
        <v>0.23618818237513328</v>
      </c>
      <c r="G60" s="24">
        <f>IF(OR(1030698.33623="",34048.27674="",24052.92275=""),"-",(34048.27674-24052.92275)/1030698.33623*100)</f>
        <v>0.9697652202059575</v>
      </c>
    </row>
    <row r="61" spans="1:7" s="16" customFormat="1" ht="15" customHeight="1">
      <c r="A61" s="15" t="s">
        <v>85</v>
      </c>
      <c r="B61" s="23">
        <f>IF(298172.24626="","-",298172.24626)</f>
        <v>298172.24626</v>
      </c>
      <c r="C61" s="23">
        <f>IF(207628.04423="","-",298172.24626/207628.04423*100)</f>
        <v>143.60884983807853</v>
      </c>
      <c r="D61" s="23">
        <f>IF(207628.04423="","-",207628.04423/1030698.33623*100)</f>
        <v>20.144404713938325</v>
      </c>
      <c r="E61" s="23">
        <f>IF(298172.24626="","-",298172.24626/1326198.65303*100)</f>
        <v>22.483226444149846</v>
      </c>
      <c r="F61" s="23">
        <f>IF(861112.79978="","-",(207628.04423-162375.3293)/861112.79978*100)</f>
        <v>5.255143686351115</v>
      </c>
      <c r="G61" s="23">
        <f>IF(1030698.33623="","-",(298172.24626-207628.04423)/1030698.33623*100)</f>
        <v>8.784743202476179</v>
      </c>
    </row>
    <row r="62" spans="1:7" s="16" customFormat="1" ht="25.5">
      <c r="A62" s="14" t="s">
        <v>109</v>
      </c>
      <c r="B62" s="24">
        <f>IF(5086.58763="","-",5086.58763)</f>
        <v>5086.58763</v>
      </c>
      <c r="C62" s="24" t="s">
        <v>201</v>
      </c>
      <c r="D62" s="24">
        <f>IF(3259.41501="","-",3259.41501/1030698.33623*100)</f>
        <v>0.31623365396339037</v>
      </c>
      <c r="E62" s="24">
        <f>IF(5086.58763="","-",5086.58763/1326198.65303*100)</f>
        <v>0.3835464331364342</v>
      </c>
      <c r="F62" s="24">
        <f>IF(OR(861112.79978="",1966.07551="",3259.41501=""),"-",(3259.41501-1966.07551)/861112.79978*100)</f>
        <v>0.15019396998052137</v>
      </c>
      <c r="G62" s="24">
        <f>IF(OR(1030698.33623="",5086.58763="",3259.41501=""),"-",(5086.58763-3259.41501)/1030698.33623*100)</f>
        <v>0.17727520805779848</v>
      </c>
    </row>
    <row r="63" spans="1:7" s="16" customFormat="1" ht="25.5">
      <c r="A63" s="14" t="s">
        <v>87</v>
      </c>
      <c r="B63" s="24">
        <f>IF(45616.76092="","-",45616.76092)</f>
        <v>45616.76092</v>
      </c>
      <c r="C63" s="24" t="s">
        <v>201</v>
      </c>
      <c r="D63" s="24">
        <f>IF(28916.79783="","-",28916.79783/1030698.33623*100)</f>
        <v>2.8055539446943696</v>
      </c>
      <c r="E63" s="24">
        <f>IF(45616.76092="","-",45616.76092/1326198.65303*100)</f>
        <v>3.439662739498206</v>
      </c>
      <c r="F63" s="24">
        <f>IF(OR(861112.79978="",24365.10587="",28916.79783=""),"-",(28916.79783-24365.10587)/861112.79978*100)</f>
        <v>0.5285825458828253</v>
      </c>
      <c r="G63" s="24">
        <f>IF(OR(1030698.33623="",45616.76092="",28916.79783=""),"-",(45616.76092-28916.79783)/1030698.33623*100)</f>
        <v>1.6202571114147417</v>
      </c>
    </row>
    <row r="64" spans="1:7" s="16" customFormat="1" ht="25.5">
      <c r="A64" s="14" t="s">
        <v>88</v>
      </c>
      <c r="B64" s="24">
        <f>IF(2585.0239="","-",2585.0239)</f>
        <v>2585.0239</v>
      </c>
      <c r="C64" s="24">
        <f>IF(OR(1791.77266="",2585.0239=""),"-",2585.0239/1791.77266*100)</f>
        <v>144.27186873138248</v>
      </c>
      <c r="D64" s="24">
        <f>IF(1791.77266="","-",1791.77266/1030698.33623*100)</f>
        <v>0.17384064735699414</v>
      </c>
      <c r="E64" s="24">
        <f>IF(2585.0239="","-",2585.0239/1326198.65303*100)</f>
        <v>0.19491981039898737</v>
      </c>
      <c r="F64" s="24">
        <f>IF(OR(861112.79978="",1201.2252="",1791.77266=""),"-",(1791.77266-1201.2252)/861112.79978*100)</f>
        <v>0.06857957054533101</v>
      </c>
      <c r="G64" s="24">
        <f>IF(OR(1030698.33623="",2585.0239="",1791.77266=""),"-",(2585.0239-1791.77266)/1030698.33623*100)</f>
        <v>0.07696250319967396</v>
      </c>
    </row>
    <row r="65" spans="1:7" s="16" customFormat="1" ht="38.25">
      <c r="A65" s="14" t="s">
        <v>89</v>
      </c>
      <c r="B65" s="24">
        <f>IF(34017.55926="","-",34017.55926)</f>
        <v>34017.55926</v>
      </c>
      <c r="C65" s="24">
        <f>IF(OR(27465.73891="",34017.55926=""),"-",34017.55926/27465.73891*100)</f>
        <v>123.85452061373287</v>
      </c>
      <c r="D65" s="24">
        <f>IF(27465.73891="","-",27465.73891/1030698.33623*100)</f>
        <v>2.664769888972735</v>
      </c>
      <c r="E65" s="24">
        <f>IF(34017.55926="","-",34017.55926/1326198.65303*100)</f>
        <v>2.5650425132222248</v>
      </c>
      <c r="F65" s="24">
        <f>IF(OR(861112.79978="",20927.28377="",27465.73891=""),"-",(27465.73891-20927.28377)/861112.79978*100)</f>
        <v>0.7593029788513733</v>
      </c>
      <c r="G65" s="24">
        <f>IF(OR(1030698.33623="",34017.55926="",27465.73891=""),"-",(34017.55926-27465.73891)/1030698.33623*100)</f>
        <v>0.6356680824735479</v>
      </c>
    </row>
    <row r="66" spans="1:7" s="16" customFormat="1" ht="25.5">
      <c r="A66" s="14" t="s">
        <v>90</v>
      </c>
      <c r="B66" s="24">
        <f>IF(14220.31643="","-",14220.31643)</f>
        <v>14220.31643</v>
      </c>
      <c r="C66" s="24" t="s">
        <v>201</v>
      </c>
      <c r="D66" s="24">
        <f>IF(8814.29687="","-",8814.29687/1030698.33623*100)</f>
        <v>0.8551771706782976</v>
      </c>
      <c r="E66" s="24">
        <f>IF(14220.31643="","-",14220.31643/1326198.65303*100)</f>
        <v>1.0722614140430984</v>
      </c>
      <c r="F66" s="24">
        <f>IF(OR(861112.79978="",6404.75167="",8814.29687=""),"-",(8814.29687-6404.75167)/861112.79978*100)</f>
        <v>0.2798176035259956</v>
      </c>
      <c r="G66" s="24">
        <f>IF(OR(1030698.33623="",14220.31643="",8814.29687=""),"-",(14220.31643-8814.29687)/1030698.33623*100)</f>
        <v>0.5245006584345208</v>
      </c>
    </row>
    <row r="67" spans="1:7" s="16" customFormat="1" ht="38.25">
      <c r="A67" s="14" t="s">
        <v>91</v>
      </c>
      <c r="B67" s="24">
        <f>IF(31847.5455="","-",31847.5455)</f>
        <v>31847.5455</v>
      </c>
      <c r="C67" s="24">
        <f>IF(OR(21650.3999="",31847.5455=""),"-",31847.5455/21650.3999*100)</f>
        <v>147.0991097028189</v>
      </c>
      <c r="D67" s="24">
        <f>IF(21650.3999="","-",21650.3999/1030698.33623*100)</f>
        <v>2.1005564032625665</v>
      </c>
      <c r="E67" s="24">
        <f>IF(31847.5455="","-",31847.5455/1326198.65303*100)</f>
        <v>2.4014159136142315</v>
      </c>
      <c r="F67" s="24">
        <f>IF(OR(861112.79978="",11256.15532="",21650.3999=""),"-",(21650.3999-11256.15532)/861112.79978*100)</f>
        <v>1.2070711970203623</v>
      </c>
      <c r="G67" s="24">
        <f>IF(OR(1030698.33623="",31847.5455="",21650.3999=""),"-",(31847.5455-21650.3999)/1030698.33623*100)</f>
        <v>0.9893433647422237</v>
      </c>
    </row>
    <row r="68" spans="1:7" s="16" customFormat="1" ht="38.25" customHeight="1">
      <c r="A68" s="14" t="s">
        <v>92</v>
      </c>
      <c r="B68" s="24">
        <f>IF(96507.60481="","-",96507.60481)</f>
        <v>96507.60481</v>
      </c>
      <c r="C68" s="24">
        <f>IF(OR(63379.5962="",96507.60481=""),"-",96507.60481/63379.5962*100)</f>
        <v>152.26920112501443</v>
      </c>
      <c r="D68" s="24">
        <f>IF(63379.5962="","-",63379.5962/1030698.33623*100)</f>
        <v>6.149189726241768</v>
      </c>
      <c r="E68" s="24">
        <f>IF(96507.60481="","-",96507.60481/1326198.65303*100)</f>
        <v>7.277009714156067</v>
      </c>
      <c r="F68" s="24">
        <f>IF(OR(861112.79978="",53199.41513="",63379.5962=""),"-",(63379.5962-53199.41513)/861112.79978*100)</f>
        <v>1.182212257511544</v>
      </c>
      <c r="G68" s="24">
        <f>IF(OR(1030698.33623="",96507.60481="",63379.5962=""),"-",(96507.60481-63379.5962)/1030698.33623*100)</f>
        <v>3.214132345568034</v>
      </c>
    </row>
    <row r="69" spans="1:7" s="16" customFormat="1" ht="25.5">
      <c r="A69" s="14" t="s">
        <v>93</v>
      </c>
      <c r="B69" s="24">
        <f>IF(68021.11788="","-",68021.11788)</f>
        <v>68021.11788</v>
      </c>
      <c r="C69" s="24">
        <f>IF(OR(51883.62279="",68021.11788=""),"-",68021.11788/51883.62279*100)</f>
        <v>131.1032542105181</v>
      </c>
      <c r="D69" s="24">
        <f>IF(51883.62279="","-",51883.62279/1030698.33623*100)</f>
        <v>5.033832011389042</v>
      </c>
      <c r="E69" s="24">
        <f>IF(68021.11788="","-",68021.11788/1326198.65303*100)</f>
        <v>5.129029329398761</v>
      </c>
      <c r="F69" s="24">
        <f>IF(OR(861112.79978="",42820.05084="",51883.62279=""),"-",(51883.62279-42820.05084)/861112.79978*100)</f>
        <v>1.0525417752837478</v>
      </c>
      <c r="G69" s="24">
        <f>IF(OR(1030698.33623="",68021.11788="",51883.62279=""),"-",(68021.11788-51883.62279)/1030698.33623*100)</f>
        <v>1.56568556703277</v>
      </c>
    </row>
    <row r="70" spans="1:7" s="16" customFormat="1" ht="14.25" customHeight="1">
      <c r="A70" s="14" t="s">
        <v>94</v>
      </c>
      <c r="B70" s="24">
        <f>IF(269.72993="","-",269.72993)</f>
        <v>269.72993</v>
      </c>
      <c r="C70" s="24">
        <f>IF(OR(466.40406="",269.72993=""),"-",269.72993/466.40406*100)</f>
        <v>57.83181432854594</v>
      </c>
      <c r="D70" s="24">
        <f>IF(466.40406="","-",466.40406/1030698.33623*100)</f>
        <v>0.04525126737916089</v>
      </c>
      <c r="E70" s="24">
        <f>IF(269.72993="","-",269.72993/1326198.65303*100)</f>
        <v>0.02033857668183731</v>
      </c>
      <c r="F70" s="24">
        <f>IF(OR(861112.79978="",235.26599="",466.40406=""),"-",(466.40406-235.26599)/861112.79978*100)</f>
        <v>0.02684178774941587</v>
      </c>
      <c r="G70" s="24">
        <f>IF(OR(1030698.33623="",269.72993="",466.40406=""),"-",(269.72993-466.40406)/1030698.33623*100)</f>
        <v>-0.019081638447130685</v>
      </c>
    </row>
    <row r="71" spans="1:7" s="16" customFormat="1" ht="13.5" customHeight="1">
      <c r="A71" s="15" t="s">
        <v>95</v>
      </c>
      <c r="B71" s="23">
        <f>IF(132136.19677="","-",132136.19677)</f>
        <v>132136.19677</v>
      </c>
      <c r="C71" s="23">
        <f>IF(111543.58943="","-",132136.19677/111543.58943*100)</f>
        <v>118.46148886299113</v>
      </c>
      <c r="D71" s="23">
        <f>IF(111543.58943="","-",111543.58943/1030698.33623*100)</f>
        <v>10.822137332441477</v>
      </c>
      <c r="E71" s="23">
        <f>IF(132136.19677="","-",132136.19677/1326198.65303*100)</f>
        <v>9.963529707114773</v>
      </c>
      <c r="F71" s="23">
        <f>IF(861112.79978="","-",(111543.58943-76456.56849)/861112.79978*100)</f>
        <v>4.074613796121037</v>
      </c>
      <c r="G71" s="23">
        <f>IF(1030698.33623="","-",(132136.19677-111543.58943)/1030698.33623*100)</f>
        <v>1.9979276783662885</v>
      </c>
    </row>
    <row r="72" spans="1:7" s="16" customFormat="1" ht="38.25">
      <c r="A72" s="14" t="s">
        <v>96</v>
      </c>
      <c r="B72" s="24">
        <f>IF(8480.85206="","-",8480.85206)</f>
        <v>8480.85206</v>
      </c>
      <c r="C72" s="24">
        <f>IF(OR(7071.3619="",8480.85206=""),"-",8480.85206/7071.3619*100)</f>
        <v>119.9323720088488</v>
      </c>
      <c r="D72" s="24">
        <f>IF(7071.3619="","-",7071.3619/1030698.33623*100)</f>
        <v>0.6860748340649332</v>
      </c>
      <c r="E72" s="24">
        <f>IF(8480.85206="","-",8480.85206/1326198.65303*100)</f>
        <v>0.6394857995537531</v>
      </c>
      <c r="F72" s="24">
        <f>IF(OR(861112.79978="",6003.78117="",7071.3619=""),"-",(7071.3619-6003.78117)/861112.79978*100)</f>
        <v>0.12397687390928909</v>
      </c>
      <c r="G72" s="24">
        <f>IF(OR(1030698.33623="",8480.85206="",7071.3619=""),"-",(8480.85206-7071.3619)/1030698.33623*100)</f>
        <v>0.13675098818491466</v>
      </c>
    </row>
    <row r="73" spans="1:7" s="16" customFormat="1" ht="14.25" customHeight="1">
      <c r="A73" s="14" t="s">
        <v>97</v>
      </c>
      <c r="B73" s="24">
        <f>IF(12014.91829="","-",12014.91829)</f>
        <v>12014.91829</v>
      </c>
      <c r="C73" s="24">
        <f>IF(OR(10297.03581="",12014.91829=""),"-",12014.91829/10297.03581*100)</f>
        <v>116.6832718822991</v>
      </c>
      <c r="D73" s="24">
        <f>IF(10297.03581="","-",10297.03581/1030698.33623*100)</f>
        <v>0.9990348725761617</v>
      </c>
      <c r="E73" s="24">
        <f>IF(12014.91829="","-",12014.91829/1326198.65303*100)</f>
        <v>0.9059667088749646</v>
      </c>
      <c r="F73" s="24">
        <f>IF(OR(861112.79978="",8022.53824="",10297.03581=""),"-",(10297.03581-8022.53824)/861112.79978*100)</f>
        <v>0.26413468370010246</v>
      </c>
      <c r="G73" s="24">
        <f>IF(OR(1030698.33623="",12014.91829="",10297.03581=""),"-",(12014.91829-10297.03581)/1030698.33623*100)</f>
        <v>0.1666717039908615</v>
      </c>
    </row>
    <row r="74" spans="1:7" s="16" customFormat="1" ht="15.75">
      <c r="A74" s="14" t="s">
        <v>98</v>
      </c>
      <c r="B74" s="24">
        <f>IF(2032.65633="","-",2032.65633)</f>
        <v>2032.65633</v>
      </c>
      <c r="C74" s="24">
        <f>IF(OR(6990.4251="",2032.65633=""),"-",2032.65633/6990.4251*100)</f>
        <v>29.077721324844752</v>
      </c>
      <c r="D74" s="24">
        <f>IF(6990.4251="","-",6990.4251/1030698.33623*100)</f>
        <v>0.67822221636342</v>
      </c>
      <c r="E74" s="24">
        <f>IF(2032.65633="","-",2032.65633/1326198.65303*100)</f>
        <v>0.15326937072028676</v>
      </c>
      <c r="F74" s="24">
        <f>IF(OR(861112.79978="",1062.01573="",6990.4251=""),"-",(6990.4251-1062.01573)/861112.79978*100)</f>
        <v>0.6884590928754758</v>
      </c>
      <c r="G74" s="24">
        <f>IF(OR(1030698.33623="",2032.65633="",6990.4251=""),"-",(2032.65633-6990.4251)/1030698.33623*100)</f>
        <v>-0.48101065032607915</v>
      </c>
    </row>
    <row r="75" spans="1:7" s="16" customFormat="1" ht="14.25" customHeight="1">
      <c r="A75" s="14" t="s">
        <v>99</v>
      </c>
      <c r="B75" s="24">
        <f>IF(34072.63056="","-",34072.63056)</f>
        <v>34072.63056</v>
      </c>
      <c r="C75" s="24">
        <f>IF(OR(28765.48471="",34072.63056=""),"-",34072.63056/28765.48471*100)</f>
        <v>118.44970075597242</v>
      </c>
      <c r="D75" s="24">
        <f>IF(28765.48471="","-",28765.48471/1030698.33623*100)</f>
        <v>2.7908733039403093</v>
      </c>
      <c r="E75" s="24">
        <f>IF(34072.63056="","-",34072.63056/1326198.65303*100)</f>
        <v>2.569195081155707</v>
      </c>
      <c r="F75" s="24">
        <f>IF(OR(861112.79978="",20141.72428="",28765.48471=""),"-",(28765.48471-20141.72428)/861112.79978*100)</f>
        <v>1.0014669892496348</v>
      </c>
      <c r="G75" s="24">
        <f>IF(OR(1030698.33623="",34072.63056="",28765.48471=""),"-",(34072.63056-28765.48471)/1030698.33623*100)</f>
        <v>0.5149077730553073</v>
      </c>
    </row>
    <row r="76" spans="1:7" s="16" customFormat="1" ht="15" customHeight="1">
      <c r="A76" s="14" t="s">
        <v>100</v>
      </c>
      <c r="B76" s="24">
        <f>IF(11622.65017="","-",11622.65017)</f>
        <v>11622.65017</v>
      </c>
      <c r="C76" s="24">
        <f>IF(OR(10372.09054="",11622.65017=""),"-",11622.65017/10372.09054*100)</f>
        <v>112.0569679292445</v>
      </c>
      <c r="D76" s="24">
        <f>IF(10372.09054="","-",10372.09054/1030698.33623*100)</f>
        <v>1.0063168024446554</v>
      </c>
      <c r="E76" s="24">
        <f>IF(11622.65017="","-",11622.65017/1326198.65303*100)</f>
        <v>0.8763883256437816</v>
      </c>
      <c r="F76" s="24">
        <f>IF(OR(861112.79978="",5480.14611="",10372.09054=""),"-",(10372.09054-5480.14611)/861112.79978*100)</f>
        <v>0.568095658460751</v>
      </c>
      <c r="G76" s="24">
        <f>IF(OR(1030698.33623="",11622.65017="",10372.09054=""),"-",(11622.65017-10372.09054)/1030698.33623*100)</f>
        <v>0.12133129413735073</v>
      </c>
    </row>
    <row r="77" spans="1:7" s="16" customFormat="1" ht="25.5">
      <c r="A77" s="14" t="s">
        <v>101</v>
      </c>
      <c r="B77" s="24">
        <f>IF(13561.03355="","-",13561.03355)</f>
        <v>13561.03355</v>
      </c>
      <c r="C77" s="24">
        <f>IF(OR(10201.79478="",13561.03355=""),"-",13561.03355/10201.79478*100)</f>
        <v>132.92791947340075</v>
      </c>
      <c r="D77" s="24">
        <f>IF(10201.79478="","-",10201.79478/1030698.33623*100)</f>
        <v>0.9897944356168509</v>
      </c>
      <c r="E77" s="24">
        <f>IF(13561.03355="","-",13561.03355/1326198.65303*100)</f>
        <v>1.0225491874099526</v>
      </c>
      <c r="F77" s="24">
        <f>IF(OR(861112.79978="",6833.64751="",10201.79478=""),"-",(10201.79478-6833.64751)/861112.79978*100)</f>
        <v>0.39113891593070105</v>
      </c>
      <c r="G77" s="24">
        <f>IF(OR(1030698.33623="",13561.03355="",10201.79478=""),"-",(13561.03355-10201.79478)/1030698.33623*100)</f>
        <v>0.325918714712118</v>
      </c>
    </row>
    <row r="78" spans="1:7" ht="25.5">
      <c r="A78" s="10" t="s">
        <v>102</v>
      </c>
      <c r="B78" s="24">
        <f>IF(3273.37098="","-",3273.37098)</f>
        <v>3273.37098</v>
      </c>
      <c r="C78" s="24">
        <f>IF(OR(2436.22425="",3273.37098=""),"-",3273.37098/2436.22425*100)</f>
        <v>134.3624660168291</v>
      </c>
      <c r="D78" s="24">
        <f>IF(2436.22425="","-",2436.22425/1030698.33623*100)</f>
        <v>0.2363663706794184</v>
      </c>
      <c r="E78" s="24">
        <f>IF(3273.37098="","-",3273.37098/1326198.65303*100)</f>
        <v>0.24682357899559357</v>
      </c>
      <c r="F78" s="24">
        <f>IF(OR(861112.79978="",1316.40109="",2436.22425=""),"-",(2436.22425-1316.40109)/861112.79978*100)</f>
        <v>0.13004372485069277</v>
      </c>
      <c r="G78" s="24">
        <f>IF(OR(1030698.33623="",3273.37098="",2436.22425=""),"-",(3273.37098-2436.22425)/1030698.33623*100)</f>
        <v>0.08122131379992747</v>
      </c>
    </row>
    <row r="79" spans="1:7" ht="13.5" customHeight="1">
      <c r="A79" s="11" t="s">
        <v>103</v>
      </c>
      <c r="B79" s="24">
        <f>IF(47078.08483="","-",47078.08483)</f>
        <v>47078.08483</v>
      </c>
      <c r="C79" s="24">
        <f>IF(OR(35409.17234="",47078.08483=""),"-",47078.08483/35409.17234*100)</f>
        <v>132.95449093798277</v>
      </c>
      <c r="D79" s="24">
        <f>IF(35409.17234="","-",35409.17234/1030698.33623*100)</f>
        <v>3.4354544967557272</v>
      </c>
      <c r="E79" s="24">
        <f>IF(47078.08483="","-",47078.08483/1326198.65303*100)</f>
        <v>3.549851654760733</v>
      </c>
      <c r="F79" s="24">
        <f>IF(OR(861112.79978="",27596.31436="",35409.17234=""),"-",(35409.17234-27596.31436)/861112.79978*100)</f>
        <v>0.9072978571443895</v>
      </c>
      <c r="G79" s="24">
        <f>IF(OR(1030698.33623="",47078.08483="",35409.17234=""),"-",(47078.08483-35409.17234)/1030698.33623*100)</f>
        <v>1.1321365408118877</v>
      </c>
    </row>
    <row r="80" spans="1:7" ht="15.75">
      <c r="A80" s="97" t="s">
        <v>111</v>
      </c>
      <c r="B80" s="97"/>
      <c r="C80" s="97"/>
      <c r="D80" s="97"/>
      <c r="E80" s="97"/>
      <c r="F80" s="97"/>
      <c r="G80" s="97"/>
    </row>
  </sheetData>
  <sheetProtection/>
  <mergeCells count="11">
    <mergeCell ref="A80:G80"/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84"/>
  <sheetViews>
    <sheetView zoomScalePageLayoutView="0" workbookViewId="0" topLeftCell="A1">
      <selection activeCell="H21" sqref="H21"/>
    </sheetView>
  </sheetViews>
  <sheetFormatPr defaultColWidth="9.00390625" defaultRowHeight="15.75"/>
  <cols>
    <col min="1" max="1" width="42.50390625" style="0" customWidth="1"/>
    <col min="2" max="2" width="13.50390625" style="0" customWidth="1"/>
    <col min="3" max="3" width="13.25390625" style="0" customWidth="1"/>
    <col min="4" max="4" width="16.875" style="0" customWidth="1"/>
    <col min="6" max="6" width="12.125" style="0" bestFit="1" customWidth="1"/>
  </cols>
  <sheetData>
    <row r="1" spans="1:4" ht="15.75">
      <c r="A1" s="79" t="s">
        <v>244</v>
      </c>
      <c r="B1" s="79"/>
      <c r="C1" s="79"/>
      <c r="D1" s="79"/>
    </row>
    <row r="2" spans="1:4" ht="15.75">
      <c r="A2" s="79" t="s">
        <v>31</v>
      </c>
      <c r="B2" s="79"/>
      <c r="C2" s="79"/>
      <c r="D2" s="79"/>
    </row>
    <row r="3" ht="15.75">
      <c r="A3" s="5"/>
    </row>
    <row r="4" spans="1:5" ht="21.75" customHeight="1">
      <c r="A4" s="81"/>
      <c r="B4" s="85" t="s">
        <v>251</v>
      </c>
      <c r="C4" s="86"/>
      <c r="D4" s="83" t="s">
        <v>252</v>
      </c>
      <c r="E4" s="1"/>
    </row>
    <row r="5" spans="1:5" ht="20.25" customHeight="1">
      <c r="A5" s="82"/>
      <c r="B5" s="46">
        <v>2017</v>
      </c>
      <c r="C5" s="45">
        <v>2018</v>
      </c>
      <c r="D5" s="84"/>
      <c r="E5" s="1"/>
    </row>
    <row r="6" spans="1:6" ht="17.25" customHeight="1">
      <c r="A6" s="7" t="s">
        <v>187</v>
      </c>
      <c r="B6" s="53">
        <f>IF(-502531.40723="","-",-502531.40723)</f>
        <v>-502531.40723</v>
      </c>
      <c r="C6" s="53">
        <f>IF(-647970.41317="","-",-647970.41317)</f>
        <v>-647970.41317</v>
      </c>
      <c r="D6" s="53">
        <f>IF(-502531.40723="","-",-647970.41317/-502531.40723*100)</f>
        <v>128.9412768729567</v>
      </c>
      <c r="F6" s="42"/>
    </row>
    <row r="7" spans="1:4" ht="15.75">
      <c r="A7" s="8" t="s">
        <v>29</v>
      </c>
      <c r="B7" s="64"/>
      <c r="C7" s="64"/>
      <c r="D7" s="64"/>
    </row>
    <row r="8" spans="1:4" ht="15.75">
      <c r="A8" s="9" t="s">
        <v>32</v>
      </c>
      <c r="B8" s="54">
        <f>IF(674.66211="","-",674.66211)</f>
        <v>674.66211</v>
      </c>
      <c r="C8" s="54">
        <f>IF(9433.05473="","-",9433.05473)</f>
        <v>9433.05473</v>
      </c>
      <c r="D8" s="54" t="s">
        <v>294</v>
      </c>
    </row>
    <row r="9" spans="1:4" ht="15.75">
      <c r="A9" s="8" t="s">
        <v>33</v>
      </c>
      <c r="B9" s="55">
        <f>IF(OR(730.05312="",730.05312=0),"-",730.05312)</f>
        <v>730.05312</v>
      </c>
      <c r="C9" s="55">
        <f>IF(OR(1489.31449="",1489.31449=0),"-",1489.31449)</f>
        <v>1489.31449</v>
      </c>
      <c r="D9" s="55" t="s">
        <v>25</v>
      </c>
    </row>
    <row r="10" spans="1:4" ht="15.75">
      <c r="A10" s="8" t="s">
        <v>34</v>
      </c>
      <c r="B10" s="55">
        <f>IF(OR(-3050.45532="",-3050.45532=0),"-",-3050.45532)</f>
        <v>-3050.45532</v>
      </c>
      <c r="C10" s="55">
        <f>IF(OR(-6029.15536="",-6029.15536=0),"-",-6029.15536)</f>
        <v>-6029.15536</v>
      </c>
      <c r="D10" s="55" t="s">
        <v>25</v>
      </c>
    </row>
    <row r="11" spans="1:4" ht="15.75">
      <c r="A11" s="8" t="s">
        <v>35</v>
      </c>
      <c r="B11" s="55">
        <f>IF(OR(-8370.6034="",-8370.6034=0),"-",-8370.6034)</f>
        <v>-8370.6034</v>
      </c>
      <c r="C11" s="55">
        <f>IF(OR(-9599.56676="",-9599.56676=0),"-",-9599.56676)</f>
        <v>-9599.56676</v>
      </c>
      <c r="D11" s="55">
        <f>IF(OR(-8370.6034="",-9599.56676="",-8370.6034=0,-9599.56676=0),"-",-9599.56676/-8370.6034*100)</f>
        <v>114.68189688690782</v>
      </c>
    </row>
    <row r="12" spans="1:4" ht="15.75">
      <c r="A12" s="8" t="s">
        <v>36</v>
      </c>
      <c r="B12" s="55">
        <f>IF(OR(-9604.77003="",-9604.77003=0),"-",-9604.77003)</f>
        <v>-9604.77003</v>
      </c>
      <c r="C12" s="55">
        <f>IF(OR(-12366.32533="",-12366.32533=0),"-",-12366.32533)</f>
        <v>-12366.32533</v>
      </c>
      <c r="D12" s="55">
        <f>IF(OR(-9604.77003="",-12366.32533="",-9604.77003=0,-12366.32533=0),"-",-12366.32533/-9604.77003*100)</f>
        <v>128.75191484412875</v>
      </c>
    </row>
    <row r="13" spans="1:4" ht="15.75">
      <c r="A13" s="8" t="s">
        <v>37</v>
      </c>
      <c r="B13" s="55">
        <f>IF(OR(17357.97471="",17357.97471=0),"-",17357.97471)</f>
        <v>17357.97471</v>
      </c>
      <c r="C13" s="55">
        <f>IF(OR(30062.50611="",30062.50611=0),"-",30062.50611)</f>
        <v>30062.50611</v>
      </c>
      <c r="D13" s="55" t="s">
        <v>200</v>
      </c>
    </row>
    <row r="14" spans="1:4" ht="15.75">
      <c r="A14" s="8" t="s">
        <v>38</v>
      </c>
      <c r="B14" s="55">
        <f>IF(OR(30632.01499="",30632.01499=0),"-",30632.01499)</f>
        <v>30632.01499</v>
      </c>
      <c r="C14" s="55">
        <f>IF(OR(32014.19944="",32014.19944=0),"-",32014.19944)</f>
        <v>32014.19944</v>
      </c>
      <c r="D14" s="55">
        <f>IF(OR(30632.01499="",32014.19944="",30632.01499=0,32014.19944=0),"-",32014.19944/30632.01499*100)</f>
        <v>104.51222177336759</v>
      </c>
    </row>
    <row r="15" spans="1:4" ht="15.75">
      <c r="A15" s="8" t="s">
        <v>39</v>
      </c>
      <c r="B15" s="55">
        <f>IF(OR(-3690.11987="",-3690.11987=0),"-",-3690.11987)</f>
        <v>-3690.11987</v>
      </c>
      <c r="C15" s="55">
        <f>IF(OR(784.75401="",784.75401=0),"-",784.75401)</f>
        <v>784.75401</v>
      </c>
      <c r="D15" s="55" t="s">
        <v>30</v>
      </c>
    </row>
    <row r="16" spans="1:4" ht="15.75">
      <c r="A16" s="8" t="s">
        <v>40</v>
      </c>
      <c r="B16" s="55">
        <f>IF(OR(-7028.94423="",-7028.94423=0),"-",-7028.94423)</f>
        <v>-7028.94423</v>
      </c>
      <c r="C16" s="55">
        <f>IF(OR(-9205.6632="",-9205.6632=0),"-",-9205.6632)</f>
        <v>-9205.6632</v>
      </c>
      <c r="D16" s="55">
        <f>IF(OR(-7028.94423="",-9205.6632="",-7028.94423=0,-9205.6632=0),"-",-9205.6632/-7028.94423*100)</f>
        <v>130.96793627568732</v>
      </c>
    </row>
    <row r="17" spans="1:4" ht="15.75">
      <c r="A17" s="8" t="s">
        <v>41</v>
      </c>
      <c r="B17" s="55">
        <f>IF(OR(-1515.30919="",-1515.30919=0),"-",-1515.30919)</f>
        <v>-1515.30919</v>
      </c>
      <c r="C17" s="55">
        <f>IF(OR(-1575.00836="",-1575.00836=0),"-",-1575.00836)</f>
        <v>-1575.00836</v>
      </c>
      <c r="D17" s="55">
        <f>IF(OR(-1515.30919="",-1575.00836="",-1515.30919=0,-1575.00836=0),"-",-1575.00836/-1515.30919*100)</f>
        <v>103.9397352298774</v>
      </c>
    </row>
    <row r="18" spans="1:4" ht="15.75">
      <c r="A18" s="8" t="s">
        <v>42</v>
      </c>
      <c r="B18" s="55">
        <f>IF(OR(-14785.17867="",-14785.17867=0),"-",-14785.17867)</f>
        <v>-14785.17867</v>
      </c>
      <c r="C18" s="55">
        <f>IF(OR(-16142.00031="",-16142.00031=0),"-",-16142.00031)</f>
        <v>-16142.00031</v>
      </c>
      <c r="D18" s="55">
        <f>IF(OR(-14785.17867="",-16142.00031="",-14785.17867=0,-16142.00031=0),"-",-16142.00031/-14785.17867*100)</f>
        <v>109.17690391360011</v>
      </c>
    </row>
    <row r="19" spans="1:4" ht="15.75">
      <c r="A19" s="9" t="s">
        <v>43</v>
      </c>
      <c r="B19" s="54">
        <f>IF(21403.47072="","-",21403.47072)</f>
        <v>21403.47072</v>
      </c>
      <c r="C19" s="54">
        <f>IF(37354.46922="","-",37354.46922)</f>
        <v>37354.46922</v>
      </c>
      <c r="D19" s="54" t="s">
        <v>200</v>
      </c>
    </row>
    <row r="20" spans="1:4" ht="15.75">
      <c r="A20" s="8" t="s">
        <v>44</v>
      </c>
      <c r="B20" s="55">
        <f>IF(OR(28287.17277="",28287.17277=0),"-",28287.17277)</f>
        <v>28287.17277</v>
      </c>
      <c r="C20" s="55">
        <f>IF(OR(37979.78541="",37979.78541=0),"-",37979.78541)</f>
        <v>37979.78541</v>
      </c>
      <c r="D20" s="55">
        <f>IF(OR(28287.17277="",37979.78541="",28287.17277=0,37979.78541=0),"-",37979.78541/28287.17277*100)</f>
        <v>134.26504556962834</v>
      </c>
    </row>
    <row r="21" spans="1:4" ht="15.75">
      <c r="A21" s="8" t="s">
        <v>45</v>
      </c>
      <c r="B21" s="55">
        <f>IF(OR(-6883.70205="",-6883.70205=0),"-",-6883.70205)</f>
        <v>-6883.70205</v>
      </c>
      <c r="C21" s="55">
        <f>IF(OR(-625.31619="",-625.31619=0),"-",-625.31619)</f>
        <v>-625.31619</v>
      </c>
      <c r="D21" s="55">
        <f>IF(OR(-6883.70205="",-625.31619="",-6883.70205=0,-625.31619=0),"-",-625.31619/-6883.70205*100)</f>
        <v>9.084010107613533</v>
      </c>
    </row>
    <row r="22" spans="1:4" ht="15.75">
      <c r="A22" s="9" t="s">
        <v>46</v>
      </c>
      <c r="B22" s="54">
        <f>IF(28617.16098="","-",28617.16098)</f>
        <v>28617.16098</v>
      </c>
      <c r="C22" s="54">
        <f>IF(34959.29754="","-",34959.29754)</f>
        <v>34959.29754</v>
      </c>
      <c r="D22" s="54">
        <f>IF(28617.16098="","-",34959.29754/28617.16098*100)</f>
        <v>122.16200469512822</v>
      </c>
    </row>
    <row r="23" spans="1:4" ht="15.75">
      <c r="A23" s="8" t="s">
        <v>47</v>
      </c>
      <c r="B23" s="55">
        <f>IF(OR(930.53113="",930.53113=0),"-",930.53113)</f>
        <v>930.53113</v>
      </c>
      <c r="C23" s="55">
        <f>IF(OR(968.45001="",968.45001=0),"-",968.45001)</f>
        <v>968.45001</v>
      </c>
      <c r="D23" s="55">
        <f>IF(OR(930.53113="",968.45001="",930.53113=0,968.45001=0),"-",968.45001/930.53113*100)</f>
        <v>104.07497167773421</v>
      </c>
    </row>
    <row r="24" spans="1:4" ht="15.75">
      <c r="A24" s="8" t="s">
        <v>48</v>
      </c>
      <c r="B24" s="55">
        <f>IF(OR(38599.31482="",38599.31482=0),"-",38599.31482)</f>
        <v>38599.31482</v>
      </c>
      <c r="C24" s="55">
        <f>IF(OR(48719.82299="",48719.82299=0),"-",48719.82299)</f>
        <v>48719.82299</v>
      </c>
      <c r="D24" s="55">
        <f>IF(OR(38599.31482="",48719.82299="",38599.31482=0,48719.82299=0),"-",48719.82299/38599.31482*100)</f>
        <v>126.21939849760267</v>
      </c>
    </row>
    <row r="25" spans="1:4" ht="15.75">
      <c r="A25" s="8" t="s">
        <v>49</v>
      </c>
      <c r="B25" s="55">
        <f>IF(OR(-158.51546="",-158.51546=0),"-",-158.51546)</f>
        <v>-158.51546</v>
      </c>
      <c r="C25" s="55">
        <f>IF(OR(-191.60234="",-191.60234=0),"-",-191.60234)</f>
        <v>-191.60234</v>
      </c>
      <c r="D25" s="55">
        <f>IF(OR(-158.51546="",-191.60234="",-158.51546=0,-191.60234=0),"-",-191.60234/-158.51546*100)</f>
        <v>120.87296721720394</v>
      </c>
    </row>
    <row r="26" spans="1:4" ht="15.75">
      <c r="A26" s="8" t="s">
        <v>50</v>
      </c>
      <c r="B26" s="55">
        <f>IF(OR(-5280.21073="",-5280.21073=0),"-",-5280.21073)</f>
        <v>-5280.21073</v>
      </c>
      <c r="C26" s="55">
        <f>IF(OR(-5410.90819="",-5410.90819=0),"-",-5410.90819)</f>
        <v>-5410.90819</v>
      </c>
      <c r="D26" s="55">
        <f>IF(OR(-5280.21073="",-5410.90819="",-5280.21073=0,-5410.90819=0),"-",-5410.90819/-5280.21073*100)</f>
        <v>102.47523189287561</v>
      </c>
    </row>
    <row r="27" spans="1:4" ht="15.75">
      <c r="A27" s="8" t="s">
        <v>51</v>
      </c>
      <c r="B27" s="55">
        <f>IF(OR(502.33703="",502.33703=0),"-",502.33703)</f>
        <v>502.33703</v>
      </c>
      <c r="C27" s="55">
        <f>IF(OR(595.96645="",595.96645=0),"-",595.96645)</f>
        <v>595.96645</v>
      </c>
      <c r="D27" s="55">
        <f>IF(OR(502.33703="",595.96645="",502.33703=0,595.96645=0),"-",595.96645/502.33703*100)</f>
        <v>118.63876529269601</v>
      </c>
    </row>
    <row r="28" spans="1:4" ht="25.5">
      <c r="A28" s="8" t="s">
        <v>52</v>
      </c>
      <c r="B28" s="55">
        <f>IF(OR(-1856.40894="",-1856.40894=0),"-",-1856.40894)</f>
        <v>-1856.40894</v>
      </c>
      <c r="C28" s="55">
        <f>IF(OR(-2375.55577="",-2375.55577=0),"-",-2375.55577)</f>
        <v>-2375.55577</v>
      </c>
      <c r="D28" s="55">
        <f>IF(OR(-1856.40894="",-2375.55577="",-1856.40894=0,-2375.55577=0),"-",-2375.55577/-1856.40894*100)</f>
        <v>127.96511150177933</v>
      </c>
    </row>
    <row r="29" spans="1:4" ht="25.5">
      <c r="A29" s="8" t="s">
        <v>53</v>
      </c>
      <c r="B29" s="55">
        <f>IF(OR(351.22194="",351.22194=0),"-",351.22194)</f>
        <v>351.22194</v>
      </c>
      <c r="C29" s="55">
        <f>IF(OR(41.94477="",41.94477=0),"-",41.94477)</f>
        <v>41.94477</v>
      </c>
      <c r="D29" s="55">
        <f>IF(OR(351.22194="",41.94477="",351.22194=0,41.94477=0),"-",41.94477/351.22194*100)</f>
        <v>11.94252557229198</v>
      </c>
    </row>
    <row r="30" spans="1:4" ht="15.75">
      <c r="A30" s="8" t="s">
        <v>54</v>
      </c>
      <c r="B30" s="55">
        <f>IF(OR(3891.74735="",3891.74735=0),"-",3891.74735)</f>
        <v>3891.74735</v>
      </c>
      <c r="C30" s="55">
        <f>IF(OR(3464.20955="",3464.20955=0),"-",3464.20955)</f>
        <v>3464.20955</v>
      </c>
      <c r="D30" s="55">
        <f>IF(OR(3891.74735="",3464.20955="",3891.74735=0,3464.20955=0),"-",3464.20955/3891.74735*100)</f>
        <v>89.01424574747895</v>
      </c>
    </row>
    <row r="31" spans="1:4" ht="15.75">
      <c r="A31" s="8" t="s">
        <v>55</v>
      </c>
      <c r="B31" s="55">
        <f>IF(OR(-8362.85616="",-8362.85616=0),"-",-8362.85616)</f>
        <v>-8362.85616</v>
      </c>
      <c r="C31" s="55">
        <f>IF(OR(-10853.02993="",-10853.02993=0),"-",-10853.02993)</f>
        <v>-10853.02993</v>
      </c>
      <c r="D31" s="55">
        <f>IF(OR(-8362.85616="",-10853.02993="",-8362.85616=0,-10853.02993=0),"-",-10853.02993/-8362.85616*100)</f>
        <v>129.77659453131142</v>
      </c>
    </row>
    <row r="32" spans="1:4" ht="15.75">
      <c r="A32" s="9" t="s">
        <v>56</v>
      </c>
      <c r="B32" s="54">
        <f>IF(-171641.72759="","-",-171641.72759)</f>
        <v>-171641.72759</v>
      </c>
      <c r="C32" s="54">
        <f>IF(-222556.09725="","-",-222556.09725)</f>
        <v>-222556.09725</v>
      </c>
      <c r="D32" s="54">
        <f>IF(-171641.72759="","-",-222556.09725/-171641.72759*100)</f>
        <v>129.66316546383115</v>
      </c>
    </row>
    <row r="33" spans="1:4" ht="15.75">
      <c r="A33" s="8" t="s">
        <v>57</v>
      </c>
      <c r="B33" s="55">
        <f>IF(OR(-3402.01981="",-3402.01981=0),"-",-3402.01981)</f>
        <v>-3402.01981</v>
      </c>
      <c r="C33" s="55">
        <f>IF(OR(-1635.76628="",-1635.76628=0),"-",-1635.76628)</f>
        <v>-1635.76628</v>
      </c>
      <c r="D33" s="55">
        <f>IF(OR(-3402.01981="",-1635.76628="",-3402.01981=0,-1635.76628=0),"-",-1635.76628/-3402.01981*100)</f>
        <v>48.082209139164306</v>
      </c>
    </row>
    <row r="34" spans="1:4" ht="15.75">
      <c r="A34" s="8" t="s">
        <v>58</v>
      </c>
      <c r="B34" s="55">
        <f>IF(OR(-90699.4382="",-90699.4382=0),"-",-90699.4382)</f>
        <v>-90699.4382</v>
      </c>
      <c r="C34" s="55">
        <f>IF(OR(-107096.27576="",-107096.27576=0),"-",-107096.27576)</f>
        <v>-107096.27576</v>
      </c>
      <c r="D34" s="55">
        <f>IF(OR(-90699.4382="",-107096.27576="",-90699.4382=0,-107096.27576=0),"-",-107096.27576/-90699.4382*100)</f>
        <v>118.0782129254688</v>
      </c>
    </row>
    <row r="35" spans="1:4" ht="15.75">
      <c r="A35" s="8" t="s">
        <v>59</v>
      </c>
      <c r="B35" s="55">
        <f>IF(OR(-77540.80872="",-77540.80872=0),"-",-77540.80872)</f>
        <v>-77540.80872</v>
      </c>
      <c r="C35" s="55">
        <f>IF(OR(-105695.89413="",-105695.89413=0),"-",-105695.89413)</f>
        <v>-105695.89413</v>
      </c>
      <c r="D35" s="55">
        <f>IF(OR(-77540.80872="",-105695.89413="",-77540.80872=0,-105695.89413=0),"-",-105695.89413/-77540.80872*100)</f>
        <v>136.31002290892795</v>
      </c>
    </row>
    <row r="36" spans="1:4" ht="15.75">
      <c r="A36" s="8" t="s">
        <v>60</v>
      </c>
      <c r="B36" s="55">
        <f>IF(OR(0.53914="",0.53914=0),"-",0.53914)</f>
        <v>0.53914</v>
      </c>
      <c r="C36" s="55">
        <f>IF(OR(-8128.16108="",-8128.16108=0),"-",-8128.16108)</f>
        <v>-8128.16108</v>
      </c>
      <c r="D36" s="55" t="s">
        <v>30</v>
      </c>
    </row>
    <row r="37" spans="1:4" ht="15.75">
      <c r="A37" s="9" t="s">
        <v>61</v>
      </c>
      <c r="B37" s="54">
        <f>IF(10521.1408="","-",10521.1408)</f>
        <v>10521.1408</v>
      </c>
      <c r="C37" s="54">
        <f>IF(21673.40993="","-",21673.40993)</f>
        <v>21673.40993</v>
      </c>
      <c r="D37" s="54" t="s">
        <v>175</v>
      </c>
    </row>
    <row r="38" spans="1:4" ht="15.75">
      <c r="A38" s="8" t="s">
        <v>62</v>
      </c>
      <c r="B38" s="55">
        <f>IF(OR(-169.4773="",-169.4773=0),"-",-169.4773)</f>
        <v>-169.4773</v>
      </c>
      <c r="C38" s="55">
        <f>IF(OR(-361.74704="",-361.74704=0),"-",-361.74704)</f>
        <v>-361.74704</v>
      </c>
      <c r="D38" s="55" t="s">
        <v>175</v>
      </c>
    </row>
    <row r="39" spans="1:4" ht="15.75" customHeight="1">
      <c r="A39" s="8" t="s">
        <v>63</v>
      </c>
      <c r="B39" s="55">
        <f>IF(OR(11276.84073="",11276.84073=0),"-",11276.84073)</f>
        <v>11276.84073</v>
      </c>
      <c r="C39" s="55">
        <f>IF(OR(22710.09576="",22710.09576=0),"-",22710.09576)</f>
        <v>22710.09576</v>
      </c>
      <c r="D39" s="55" t="s">
        <v>25</v>
      </c>
    </row>
    <row r="40" spans="1:4" ht="25.5">
      <c r="A40" s="8" t="s">
        <v>64</v>
      </c>
      <c r="B40" s="55">
        <f>IF(OR(-586.22263="",-586.22263=0),"-",-586.22263)</f>
        <v>-586.22263</v>
      </c>
      <c r="C40" s="55">
        <f>IF(OR(-674.93879="",-674.93879=0),"-",-674.93879)</f>
        <v>-674.93879</v>
      </c>
      <c r="D40" s="55">
        <f>IF(OR(-586.22263="",-674.93879="",-586.22263=0,-674.93879=0),"-",-674.93879/-586.22263*100)</f>
        <v>115.13352700150796</v>
      </c>
    </row>
    <row r="41" spans="1:4" ht="25.5">
      <c r="A41" s="9" t="s">
        <v>65</v>
      </c>
      <c r="B41" s="54">
        <f>IF(-143867.22786="","-",-143867.22786)</f>
        <v>-143867.22786</v>
      </c>
      <c r="C41" s="54">
        <f>IF(-164720.29816="","-",-164720.29816)</f>
        <v>-164720.29816</v>
      </c>
      <c r="D41" s="54">
        <f>IF(-143867.22786="","-",-164720.29816/-143867.22786*100)</f>
        <v>114.49466331574311</v>
      </c>
    </row>
    <row r="42" spans="1:4" ht="15.75">
      <c r="A42" s="8" t="s">
        <v>66</v>
      </c>
      <c r="B42" s="55">
        <f>IF(OR(1598.89182="",1598.89182=0),"-",1598.89182)</f>
        <v>1598.89182</v>
      </c>
      <c r="C42" s="55">
        <f>IF(OR(170.60238="",170.60238=0),"-",170.60238)</f>
        <v>170.60238</v>
      </c>
      <c r="D42" s="55">
        <f>IF(OR(1598.89182="",170.60238="",1598.89182=0,170.60238=0),"-",170.60238/1598.89182*100)</f>
        <v>10.670038952353886</v>
      </c>
    </row>
    <row r="43" spans="1:4" ht="15.75">
      <c r="A43" s="8" t="s">
        <v>67</v>
      </c>
      <c r="B43" s="55">
        <f>IF(OR(-2611.43616="",-2611.43616=0),"-",-2611.43616)</f>
        <v>-2611.43616</v>
      </c>
      <c r="C43" s="55">
        <f>IF(OR(-2602.18364="",-2602.18364=0),"-",-2602.18364)</f>
        <v>-2602.18364</v>
      </c>
      <c r="D43" s="55">
        <f>IF(OR(-2611.43616="",-2602.18364="",-2611.43616=0,-2602.18364=0),"-",-2602.18364/-2611.43616*100)</f>
        <v>99.64569227685045</v>
      </c>
    </row>
    <row r="44" spans="1:4" ht="15.75">
      <c r="A44" s="8" t="s">
        <v>68</v>
      </c>
      <c r="B44" s="55">
        <f>IF(OR(-4523.25084="",-4523.25084=0),"-",-4523.25084)</f>
        <v>-4523.25084</v>
      </c>
      <c r="C44" s="55">
        <f>IF(OR(-5486.04539="",-5486.04539=0),"-",-5486.04539)</f>
        <v>-5486.04539</v>
      </c>
      <c r="D44" s="55">
        <f>IF(OR(-4523.25084="",-5486.04539="",-4523.25084=0,-5486.04539=0),"-",-5486.04539/-4523.25084*100)</f>
        <v>121.28545561713753</v>
      </c>
    </row>
    <row r="45" spans="1:4" ht="15.75">
      <c r="A45" s="8" t="s">
        <v>69</v>
      </c>
      <c r="B45" s="55">
        <f>IF(OR(-36346.1734="",-36346.1734=0),"-",-36346.1734)</f>
        <v>-36346.1734</v>
      </c>
      <c r="C45" s="55">
        <f>IF(OR(-35813.4059="",-35813.4059=0),"-",-35813.4059)</f>
        <v>-35813.4059</v>
      </c>
      <c r="D45" s="55">
        <f>IF(OR(-36346.1734="",-35813.4059="",-36346.1734=0,-35813.4059=0),"-",-35813.4059/-36346.1734*100)</f>
        <v>98.53418544467736</v>
      </c>
    </row>
    <row r="46" spans="1:4" ht="25.5">
      <c r="A46" s="8" t="s">
        <v>70</v>
      </c>
      <c r="B46" s="55">
        <f>IF(OR(-17404.96016="",-17404.96016=0),"-",-17404.96016)</f>
        <v>-17404.96016</v>
      </c>
      <c r="C46" s="55">
        <f>IF(OR(-19877.64626="",-19877.64626=0),"-",-19877.64626)</f>
        <v>-19877.64626</v>
      </c>
      <c r="D46" s="55">
        <f>IF(OR(-17404.96016="",-19877.64626="",-17404.96016=0,-19877.64626=0),"-",-19877.64626/-17404.96016*100)</f>
        <v>114.20678977296781</v>
      </c>
    </row>
    <row r="47" spans="1:4" ht="15.75">
      <c r="A47" s="8" t="s">
        <v>71</v>
      </c>
      <c r="B47" s="55">
        <f>IF(OR(-19333.65491="",-19333.65491=0),"-",-19333.65491)</f>
        <v>-19333.65491</v>
      </c>
      <c r="C47" s="55">
        <f>IF(OR(-29123.54568="",-29123.54568=0),"-",-29123.54568)</f>
        <v>-29123.54568</v>
      </c>
      <c r="D47" s="55">
        <f>IF(OR(-19333.65491="",-29123.54568="",-19333.65491=0,-29123.54568=0),"-",-29123.54568/-19333.65491*100)</f>
        <v>150.63652380045505</v>
      </c>
    </row>
    <row r="48" spans="1:4" ht="15.75">
      <c r="A48" s="8" t="s">
        <v>72</v>
      </c>
      <c r="B48" s="55">
        <f>IF(OR(-7834.28666="",-7834.28666=0),"-",-7834.28666)</f>
        <v>-7834.28666</v>
      </c>
      <c r="C48" s="55">
        <f>IF(OR(-10849.07977="",-10849.07977=0),"-",-10849.07977)</f>
        <v>-10849.07977</v>
      </c>
      <c r="D48" s="55">
        <f>IF(OR(-7834.28666="",-10849.07977="",-7834.28666=0,-10849.07977=0),"-",-10849.07977/-7834.28666*100)</f>
        <v>138.48203724013337</v>
      </c>
    </row>
    <row r="49" spans="1:4" ht="15.75">
      <c r="A49" s="8" t="s">
        <v>73</v>
      </c>
      <c r="B49" s="55">
        <f>IF(OR(-17201.11295="",-17201.11295=0),"-",-17201.11295)</f>
        <v>-17201.11295</v>
      </c>
      <c r="C49" s="55">
        <f>IF(OR(-21823.86714="",-21823.86714=0),"-",-21823.86714)</f>
        <v>-21823.86714</v>
      </c>
      <c r="D49" s="55">
        <f>IF(OR(-17201.11295="",-21823.86714="",-17201.11295=0,-21823.86714=0),"-",-21823.86714/-17201.11295*100)</f>
        <v>126.87473888135825</v>
      </c>
    </row>
    <row r="50" spans="1:4" ht="15.75">
      <c r="A50" s="8" t="s">
        <v>74</v>
      </c>
      <c r="B50" s="55">
        <f>IF(OR(-40211.2446="",-40211.2446=0),"-",-40211.2446)</f>
        <v>-40211.2446</v>
      </c>
      <c r="C50" s="55">
        <f>IF(OR(-39315.12676="",-39315.12676=0),"-",-39315.12676)</f>
        <v>-39315.12676</v>
      </c>
      <c r="D50" s="55">
        <f>IF(OR(-40211.2446="",-39315.12676="",-40211.2446=0,-39315.12676=0),"-",-39315.12676/-40211.2446*100)</f>
        <v>97.77147449944884</v>
      </c>
    </row>
    <row r="51" spans="1:4" ht="25.5">
      <c r="A51" s="9" t="s">
        <v>75</v>
      </c>
      <c r="B51" s="54">
        <f>IF(-146909.41296="","-",-146909.41296)</f>
        <v>-146909.41296</v>
      </c>
      <c r="C51" s="54">
        <f>IF(-210664.30027="","-",-210664.30027)</f>
        <v>-210664.30027</v>
      </c>
      <c r="D51" s="54">
        <f>IF(-146909.41296="","-",-210664.30027/-146909.41296*100)</f>
        <v>143.397414791494</v>
      </c>
    </row>
    <row r="52" spans="1:4" ht="15.75">
      <c r="A52" s="8" t="s">
        <v>76</v>
      </c>
      <c r="B52" s="55">
        <f>IF(OR(-8783.21779="",-8783.21779=0),"-",-8783.21779)</f>
        <v>-8783.21779</v>
      </c>
      <c r="C52" s="55">
        <f>IF(OR(-15954.35799="",-15954.35799=0),"-",-15954.35799)</f>
        <v>-15954.35799</v>
      </c>
      <c r="D52" s="55" t="s">
        <v>199</v>
      </c>
    </row>
    <row r="53" spans="1:4" ht="15.75">
      <c r="A53" s="8" t="s">
        <v>77</v>
      </c>
      <c r="B53" s="55">
        <f>IF(OR(-11352.41487="",-11352.41487=0),"-",-11352.41487)</f>
        <v>-11352.41487</v>
      </c>
      <c r="C53" s="55">
        <f>IF(OR(-14324.20517="",-14324.20517=0),"-",-14324.20517)</f>
        <v>-14324.20517</v>
      </c>
      <c r="D53" s="55">
        <f>IF(OR(-11352.41487="",-14324.20517="",-11352.41487=0,-14324.20517=0),"-",-14324.20517/-11352.41487*100)</f>
        <v>126.17760480066033</v>
      </c>
    </row>
    <row r="54" spans="1:4" ht="15.75">
      <c r="A54" s="8" t="s">
        <v>78</v>
      </c>
      <c r="B54" s="55">
        <f>IF(OR(-9539.30152="",-9539.30152=0),"-",-9539.30152)</f>
        <v>-9539.30152</v>
      </c>
      <c r="C54" s="55">
        <f>IF(OR(-12268.10371="",-12268.10371=0),"-",-12268.10371)</f>
        <v>-12268.10371</v>
      </c>
      <c r="D54" s="55">
        <f>IF(OR(-9539.30152="",-12268.10371="",-9539.30152=0,-12268.10371=0),"-",-12268.10371/-9539.30152*100)</f>
        <v>128.60589094787306</v>
      </c>
    </row>
    <row r="55" spans="1:4" ht="25.5">
      <c r="A55" s="8" t="s">
        <v>79</v>
      </c>
      <c r="B55" s="55">
        <f>IF(OR(-16775.1167="",-16775.1167=0),"-",-16775.1167)</f>
        <v>-16775.1167</v>
      </c>
      <c r="C55" s="55">
        <f>IF(OR(-20771.4979="",-20771.4979=0),"-",-20771.4979)</f>
        <v>-20771.4979</v>
      </c>
      <c r="D55" s="55">
        <f>IF(OR(-16775.1167="",-20771.4979="",-16775.1167=0,-20771.4979=0),"-",-20771.4979/-16775.1167*100)</f>
        <v>123.8232691400591</v>
      </c>
    </row>
    <row r="56" spans="1:4" ht="25.5">
      <c r="A56" s="8" t="s">
        <v>80</v>
      </c>
      <c r="B56" s="55">
        <f>IF(OR(-41001.87047="",-41001.87047=0),"-",-41001.87047)</f>
        <v>-41001.87047</v>
      </c>
      <c r="C56" s="55">
        <f>IF(OR(-57369.2436="",-57369.2436=0),"-",-57369.2436)</f>
        <v>-57369.2436</v>
      </c>
      <c r="D56" s="55">
        <f>IF(OR(-41001.87047="",-57369.2436="",-41001.87047=0,-57369.2436=0),"-",-57369.2436/-41001.87047*100)</f>
        <v>139.91860113302778</v>
      </c>
    </row>
    <row r="57" spans="1:4" ht="15.75">
      <c r="A57" s="8" t="s">
        <v>81</v>
      </c>
      <c r="B57" s="55">
        <f>IF(OR(-11970.66242="",-11970.66242=0),"-",-11970.66242)</f>
        <v>-11970.66242</v>
      </c>
      <c r="C57" s="55">
        <f>IF(OR(-13308.47679="",-13308.47679=0),"-",-13308.47679)</f>
        <v>-13308.47679</v>
      </c>
      <c r="D57" s="55">
        <f>IF(OR(-11970.66242="",-13308.47679="",-11970.66242=0,-13308.47679=0),"-",-13308.47679/-11970.66242*100)</f>
        <v>111.17577560089612</v>
      </c>
    </row>
    <row r="58" spans="1:4" ht="15.75">
      <c r="A58" s="8" t="s">
        <v>82</v>
      </c>
      <c r="B58" s="55">
        <f>IF(OR(-17061.50899="",-17061.50899=0),"-",-17061.50899)</f>
        <v>-17061.50899</v>
      </c>
      <c r="C58" s="55">
        <f>IF(OR(-24252.69717="",-24252.69717=0),"-",-24252.69717)</f>
        <v>-24252.69717</v>
      </c>
      <c r="D58" s="55">
        <f>IF(OR(-17061.50899="",-24252.69717="",-17061.50899=0,-24252.69717=0),"-",-24252.69717/-17061.50899*100)</f>
        <v>142.14860587193584</v>
      </c>
    </row>
    <row r="59" spans="1:4" ht="15.75">
      <c r="A59" s="8" t="s">
        <v>83</v>
      </c>
      <c r="B59" s="55">
        <f>IF(OR(-12022.67643="",-12022.67643=0),"-",-12022.67643)</f>
        <v>-12022.67643</v>
      </c>
      <c r="C59" s="55">
        <f>IF(OR(-24431.96716="",-24431.96716=0),"-",-24431.96716)</f>
        <v>-24431.96716</v>
      </c>
      <c r="D59" s="55" t="s">
        <v>25</v>
      </c>
    </row>
    <row r="60" spans="1:4" ht="15.75">
      <c r="A60" s="8" t="s">
        <v>84</v>
      </c>
      <c r="B60" s="55">
        <f>IF(OR(-18402.64377="",-18402.64377=0),"-",-18402.64377)</f>
        <v>-18402.64377</v>
      </c>
      <c r="C60" s="55">
        <f>IF(OR(-27983.75078="",-27983.75078=0),"-",-27983.75078)</f>
        <v>-27983.75078</v>
      </c>
      <c r="D60" s="55">
        <f>IF(OR(-18402.64377="",-27983.75078="",-18402.64377=0,-27983.75078=0),"-",-27983.75078/-18402.64377*100)</f>
        <v>152.0637530658455</v>
      </c>
    </row>
    <row r="61" spans="1:4" ht="15.75">
      <c r="A61" s="9" t="s">
        <v>85</v>
      </c>
      <c r="B61" s="54">
        <f>IF(-109987.04387="","-",-109987.04387)</f>
        <v>-109987.04387</v>
      </c>
      <c r="C61" s="54">
        <f>IF(-175567.92462="","-",-175567.92462)</f>
        <v>-175567.92462</v>
      </c>
      <c r="D61" s="54" t="s">
        <v>201</v>
      </c>
    </row>
    <row r="62" spans="1:4" ht="15.75">
      <c r="A62" s="8" t="s">
        <v>86</v>
      </c>
      <c r="B62" s="55">
        <f>IF(OR(-2614.51634="",-2614.51634=0),"-",-2614.51634)</f>
        <v>-2614.51634</v>
      </c>
      <c r="C62" s="55">
        <f>IF(OR(-4239.1748="",-4239.1748=0),"-",-4239.1748)</f>
        <v>-4239.1748</v>
      </c>
      <c r="D62" s="55" t="s">
        <v>201</v>
      </c>
    </row>
    <row r="63" spans="1:4" ht="15.75">
      <c r="A63" s="8" t="s">
        <v>87</v>
      </c>
      <c r="B63" s="55">
        <f>IF(OR(-27538.82576="",-27538.82576=0),"-",-27538.82576)</f>
        <v>-27538.82576</v>
      </c>
      <c r="C63" s="55">
        <f>IF(OR(-42414.36904="",-42414.36904=0),"-",-42414.36904)</f>
        <v>-42414.36904</v>
      </c>
      <c r="D63" s="55">
        <f>IF(OR(-27538.82576="",-42414.36904="",-27538.82576=0,-42414.36904=0),"-",-42414.36904/-27538.82576*100)</f>
        <v>154.01662151334952</v>
      </c>
    </row>
    <row r="64" spans="1:4" ht="15.75">
      <c r="A64" s="8" t="s">
        <v>88</v>
      </c>
      <c r="B64" s="55">
        <f>IF(OR(-1452.64047="",-1452.64047=0),"-",-1452.64047)</f>
        <v>-1452.64047</v>
      </c>
      <c r="C64" s="55">
        <f>IF(OR(-2161.90246="",-2161.90246=0),"-",-2161.90246)</f>
        <v>-2161.90246</v>
      </c>
      <c r="D64" s="55">
        <f>IF(OR(-1452.64047="",-2161.90246="",-1452.64047=0,-2161.90246=0),"-",-2161.90246/-1452.64047*100)</f>
        <v>148.82570771279694</v>
      </c>
    </row>
    <row r="65" spans="1:4" ht="25.5">
      <c r="A65" s="8" t="s">
        <v>89</v>
      </c>
      <c r="B65" s="55">
        <f>IF(OR(-21552.27608="",-21552.27608=0),"-",-21552.27608)</f>
        <v>-21552.27608</v>
      </c>
      <c r="C65" s="55">
        <f>IF(OR(-29106.64405="",-29106.64405=0),"-",-29106.64405)</f>
        <v>-29106.64405</v>
      </c>
      <c r="D65" s="55">
        <f>IF(OR(-21552.27608="",-29106.64405="",-21552.27608=0,-29106.64405=0),"-",-29106.64405/-21552.27608*100)</f>
        <v>135.05136971129593</v>
      </c>
    </row>
    <row r="66" spans="1:4" ht="25.5">
      <c r="A66" s="8" t="s">
        <v>90</v>
      </c>
      <c r="B66" s="55">
        <f>IF(OR(-8609.51601="",-8609.51601=0),"-",-8609.51601)</f>
        <v>-8609.51601</v>
      </c>
      <c r="C66" s="55">
        <f>IF(OR(-13868.40415="",-13868.40415=0),"-",-13868.40415)</f>
        <v>-13868.40415</v>
      </c>
      <c r="D66" s="55" t="s">
        <v>201</v>
      </c>
    </row>
    <row r="67" spans="1:4" ht="25.5">
      <c r="A67" s="8" t="s">
        <v>91</v>
      </c>
      <c r="B67" s="55">
        <f>IF(OR(-21030.08488="",-21030.08488=0),"-",-21030.08488)</f>
        <v>-21030.08488</v>
      </c>
      <c r="C67" s="55">
        <f>IF(OR(-31313.48118="",-31313.48118=0),"-",-31313.48118)</f>
        <v>-31313.48118</v>
      </c>
      <c r="D67" s="55">
        <f>IF(OR(-21030.08488="",-31313.48118="",-21030.08488=0,-31313.48118=0),"-",-31313.48118/-21030.08488*100)</f>
        <v>148.89850116477515</v>
      </c>
    </row>
    <row r="68" spans="1:4" ht="28.5" customHeight="1">
      <c r="A68" s="8" t="s">
        <v>92</v>
      </c>
      <c r="B68" s="55">
        <f>IF(OR(6134.15049="",6134.15049=0),"-",6134.15049)</f>
        <v>6134.15049</v>
      </c>
      <c r="C68" s="55">
        <f>IF(OR(11391.23156="",11391.23156=0),"-",11391.23156)</f>
        <v>11391.23156</v>
      </c>
      <c r="D68" s="55" t="s">
        <v>202</v>
      </c>
    </row>
    <row r="69" spans="1:4" ht="15.75">
      <c r="A69" s="8" t="s">
        <v>93</v>
      </c>
      <c r="B69" s="55">
        <f>IF(OR(-44627.59299="",-44627.59299=0),"-",-44627.59299)</f>
        <v>-44627.59299</v>
      </c>
      <c r="C69" s="55">
        <f>IF(OR(-63644.6475="",-63644.6475=0),"-",-63644.6475)</f>
        <v>-63644.6475</v>
      </c>
      <c r="D69" s="55">
        <f>IF(OR(-44627.59299="",-63644.6475="",-44627.59299=0,-63644.6475=0),"-",-63644.6475/-44627.59299*100)</f>
        <v>142.61277213463265</v>
      </c>
    </row>
    <row r="70" spans="1:4" ht="15.75">
      <c r="A70" s="8" t="s">
        <v>94</v>
      </c>
      <c r="B70" s="55">
        <f>IF(OR(11304.25817="",11304.25817=0),"-",11304.25817)</f>
        <v>11304.25817</v>
      </c>
      <c r="C70" s="55">
        <f>IF(OR(-210.533="",-210.533=0),"-",-210.533)</f>
        <v>-210.533</v>
      </c>
      <c r="D70" s="55" t="s">
        <v>30</v>
      </c>
    </row>
    <row r="71" spans="1:4" ht="15.75">
      <c r="A71" s="9" t="s">
        <v>95</v>
      </c>
      <c r="B71" s="54">
        <f>IF(8691.0948="","-",8691.0948)</f>
        <v>8691.0948</v>
      </c>
      <c r="C71" s="54">
        <f>IF(22094.31106="","-",22094.31106)</f>
        <v>22094.31106</v>
      </c>
      <c r="D71" s="54" t="s">
        <v>179</v>
      </c>
    </row>
    <row r="72" spans="1:4" ht="25.5">
      <c r="A72" s="8" t="s">
        <v>96</v>
      </c>
      <c r="B72" s="55">
        <f>IF(OR(-4642.53595="",-4642.53595=0),"-",-4642.53595)</f>
        <v>-4642.53595</v>
      </c>
      <c r="C72" s="55">
        <f>IF(OR(-6689.25423="",-6689.25423=0),"-",-6689.25423)</f>
        <v>-6689.25423</v>
      </c>
      <c r="D72" s="55">
        <f>IF(OR(-4642.53595="",-6689.25423="",-4642.53595=0,-6689.25423=0),"-",-6689.25423/-4642.53595*100)</f>
        <v>144.08621283805027</v>
      </c>
    </row>
    <row r="73" spans="1:4" ht="15.75">
      <c r="A73" s="8" t="s">
        <v>97</v>
      </c>
      <c r="B73" s="55">
        <f>IF(OR(19177.1584="",19177.1584=0),"-",19177.1584)</f>
        <v>19177.1584</v>
      </c>
      <c r="C73" s="55">
        <f>IF(OR(27918.9751099999="",27918.9751099999=0),"-",27918.9751099999)</f>
        <v>27918.9751099999</v>
      </c>
      <c r="D73" s="55">
        <f>IF(OR(19177.1584="",27918.9751099999="",19177.1584=0,27918.9751099999=0),"-",27918.9751099999/19177.1584*100)</f>
        <v>145.5845257553898</v>
      </c>
    </row>
    <row r="74" spans="1:4" ht="15.75">
      <c r="A74" s="8" t="s">
        <v>98</v>
      </c>
      <c r="B74" s="55">
        <f>IF(OR(-3990.99827="",-3990.99827=0),"-",-3990.99827)</f>
        <v>-3990.99827</v>
      </c>
      <c r="C74" s="55">
        <f>IF(OR(2404.11387="",2404.11387=0),"-",2404.11387)</f>
        <v>2404.11387</v>
      </c>
      <c r="D74" s="55" t="s">
        <v>30</v>
      </c>
    </row>
    <row r="75" spans="1:4" ht="15.75">
      <c r="A75" s="8" t="s">
        <v>99</v>
      </c>
      <c r="B75" s="55">
        <f>IF(OR(33497.43047="",33497.43047=0),"-",33497.43047)</f>
        <v>33497.43047</v>
      </c>
      <c r="C75" s="55">
        <f>IF(OR(44699.49625="",44699.49625=0),"-",44699.49625)</f>
        <v>44699.49625</v>
      </c>
      <c r="D75" s="55">
        <f>IF(OR(33497.43047="",44699.49625="",33497.43047=0,44699.49625=0),"-",44699.49625/33497.43047*100)</f>
        <v>133.44156737643644</v>
      </c>
    </row>
    <row r="76" spans="1:4" ht="15.75">
      <c r="A76" s="8" t="s">
        <v>100</v>
      </c>
      <c r="B76" s="55">
        <f>IF(OR(-2093.45057="",-2093.45057=0),"-",-2093.45057)</f>
        <v>-2093.45057</v>
      </c>
      <c r="C76" s="55">
        <f>IF(OR(-1780.33363="",-1780.33363=0),"-",-1780.33363)</f>
        <v>-1780.33363</v>
      </c>
      <c r="D76" s="55">
        <f>IF(OR(-2093.45057="",-1780.33363="",-2093.45057=0,-1780.33363=0),"-",-1780.33363/-2093.45057*100)</f>
        <v>85.0430220571198</v>
      </c>
    </row>
    <row r="77" spans="1:4" ht="15.75">
      <c r="A77" s="8" t="s">
        <v>101</v>
      </c>
      <c r="B77" s="55">
        <f>IF(OR(-5178.06232="",-5178.06232=0),"-",-5178.06232)</f>
        <v>-5178.06232</v>
      </c>
      <c r="C77" s="55">
        <f>IF(OR(-8037.14194="",-8037.14194=0),"-",-8037.14194)</f>
        <v>-8037.14194</v>
      </c>
      <c r="D77" s="55" t="s">
        <v>201</v>
      </c>
    </row>
    <row r="78" spans="1:4" ht="25.5">
      <c r="A78" s="8" t="s">
        <v>102</v>
      </c>
      <c r="B78" s="55">
        <f>IF(OR(-1871.62252="",-1871.62252=0),"-",-1871.62252)</f>
        <v>-1871.62252</v>
      </c>
      <c r="C78" s="55">
        <f>IF(OR(-2341.83936="",-2341.83936=0),"-",-2341.83936)</f>
        <v>-2341.83936</v>
      </c>
      <c r="D78" s="55">
        <f>IF(OR(-1871.62252="",-2341.83936="",-1871.62252=0,-2341.83936=0),"-",-2341.83936/-1871.62252*100)</f>
        <v>125.12348697321723</v>
      </c>
    </row>
    <row r="79" spans="1:4" ht="15.75">
      <c r="A79" s="11" t="s">
        <v>103</v>
      </c>
      <c r="B79" s="55">
        <f>IF(OR(-26206.82444="",-26206.82444=0),"-",-26206.82444)</f>
        <v>-26206.82444</v>
      </c>
      <c r="C79" s="55">
        <f>IF(OR(-34079.70501="",-34079.70501=0),"-",-34079.70501)</f>
        <v>-34079.70501</v>
      </c>
      <c r="D79" s="55">
        <f>IF(OR(-26206.82444="",-34079.70501="",-26206.82444=0,-34079.70501=0),"-",-34079.70501/-26206.82444*100)</f>
        <v>130.0413374692718</v>
      </c>
    </row>
    <row r="80" spans="1:4" ht="15.75">
      <c r="A80" s="98" t="s">
        <v>26</v>
      </c>
      <c r="B80" s="98"/>
      <c r="C80" s="98"/>
      <c r="D80" s="98"/>
    </row>
    <row r="81" spans="2:4" ht="15.75">
      <c r="B81" s="18"/>
      <c r="C81" s="41"/>
      <c r="D81" s="19"/>
    </row>
    <row r="82" spans="2:4" ht="15.75">
      <c r="B82" s="18"/>
      <c r="C82" s="18"/>
      <c r="D82" s="19"/>
    </row>
    <row r="83" spans="2:4" ht="15.75">
      <c r="B83" s="18"/>
      <c r="C83" s="18"/>
      <c r="D83" s="19"/>
    </row>
    <row r="84" ht="15.75">
      <c r="C84" s="18"/>
    </row>
  </sheetData>
  <sheetProtection/>
  <mergeCells count="6">
    <mergeCell ref="A80:D80"/>
    <mergeCell ref="A1:D1"/>
    <mergeCell ref="A2:D2"/>
    <mergeCell ref="A4:A5"/>
    <mergeCell ref="D4:D5"/>
    <mergeCell ref="B4:C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TatianaGrosu</dc:creator>
  <cp:keywords/>
  <dc:description/>
  <cp:lastModifiedBy>Doina Vudvud</cp:lastModifiedBy>
  <cp:lastPrinted>2018-05-04T11:55:01Z</cp:lastPrinted>
  <dcterms:created xsi:type="dcterms:W3CDTF">2016-09-01T07:59:47Z</dcterms:created>
  <dcterms:modified xsi:type="dcterms:W3CDTF">2018-05-07T12:53:35Z</dcterms:modified>
  <cp:category/>
  <cp:version/>
  <cp:contentType/>
  <cp:contentStatus/>
</cp:coreProperties>
</file>