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tabRatio="977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<sst xmlns="http://schemas.openxmlformats.org/spreadsheetml/2006/main" count="804" uniqueCount="279">
  <si>
    <t>Structura, %</t>
  </si>
  <si>
    <t>Gradul de influenţă a ţărilor, grupelor de ţări  la creşterea (+),  scăderea (-) exporturilor, %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</si>
  <si>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</si>
  <si>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</si>
  <si>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</si>
  <si>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</si>
  <si>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</si>
  <si>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</si>
  <si>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</si>
  <si>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</si>
  <si>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</si>
  <si>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</si>
  <si>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</si>
  <si>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</si>
  <si>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</si>
  <si>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</si>
  <si>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</si>
  <si>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</si>
  <si>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</si>
  <si>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</si>
  <si>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</si>
  <si>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</si>
  <si>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</si>
  <si>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</si>
  <si>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</si>
  <si>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</si>
  <si>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</si>
  <si>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 xml:space="preserve">IMPORT – total      </t>
  </si>
  <si>
    <t xml:space="preserve">EXPORT – total      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</si>
  <si>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</si>
  <si>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</si>
  <si>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</si>
  <si>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</si>
  <si>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</si>
  <si>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</si>
  <si>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</si>
  <si>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</si>
  <si>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</si>
  <si>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</si>
  <si>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</si>
  <si>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</si>
  <si>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</si>
  <si>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</si>
  <si>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</si>
  <si>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</si>
  <si>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</si>
  <si>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</si>
  <si>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</si>
  <si>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</si>
  <si>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</si>
  <si>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</si>
  <si>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</si>
  <si>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</si>
  <si>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</si>
  <si>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</si>
  <si>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</si>
  <si>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</si>
  <si>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</si>
  <si>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</si>
  <si>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</si>
  <si>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</si>
  <si>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</si>
  <si>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</si>
  <si>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</si>
  <si>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</si>
  <si>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</si>
  <si>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</si>
  <si>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</si>
  <si>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</si>
  <si>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</si>
  <si>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</si>
  <si>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</si>
  <si>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</si>
  <si>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</si>
  <si>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</si>
  <si>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</si>
  <si>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</si>
  <si>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</si>
  <si>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</si>
  <si>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</si>
  <si>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</si>
  <si>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</si>
  <si>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</si>
  <si>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</si>
  <si>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</si>
  <si>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</si>
  <si>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</si>
  <si>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</si>
  <si>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</si>
  <si>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</si>
  <si>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</si>
  <si>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</si>
  <si>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</si>
  <si>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</si>
  <si>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</si>
  <si>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</si>
  <si>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</si>
  <si>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</si>
  <si>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</si>
  <si>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</si>
  <si>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</si>
  <si>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</si>
  <si>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</si>
  <si>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</si>
  <si>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</si>
  <si>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</si>
  <si>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</si>
  <si>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</si>
  <si>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</si>
  <si>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</si>
  <si>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</si>
  <si>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</si>
  <si>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</si>
  <si>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</si>
  <si>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</si>
  <si>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</si>
  <si>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</si>
  <si>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</si>
  <si>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</si>
  <si>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</si>
  <si>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</si>
  <si>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</si>
  <si>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</si>
  <si>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</si>
  <si>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</si>
  <si>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</si>
  <si>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</si>
  <si>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</si>
  <si>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</si>
  <si>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</si>
  <si>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</si>
  <si>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</si>
  <si>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</si>
  <si>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</si>
  <si>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</si>
  <si>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</si>
  <si>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</si>
  <si>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</si>
  <si>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</si>
  <si>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</si>
  <si>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</si>
  <si>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</si>
  <si>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</si>
  <si>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</si>
  <si>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</si>
  <si>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</si>
  <si>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</si>
  <si>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</si>
  <si>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</si>
  <si>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</si>
  <si>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</si>
  <si>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</si>
  <si>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</si>
  <si>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</si>
  <si>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</si>
  <si>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</si>
  <si>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</si>
  <si>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</si>
  <si>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</si>
  <si>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</si>
  <si>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</si>
  <si>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</si>
  <si>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</si>
  <si>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</si>
  <si>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</si>
  <si>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</si>
  <si>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</si>
  <si>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</si>
  <si>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</si>
  <si>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</si>
  <si>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</si>
  <si>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</si>
  <si>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</si>
  <si>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</si>
  <si>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</si>
  <si>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</si>
  <si>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</si>
  <si>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</si>
  <si>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Mongolia</t>
  </si>
  <si>
    <t>de 2,5 ori</t>
  </si>
  <si>
    <t>Peru</t>
  </si>
  <si>
    <t>Kenya</t>
  </si>
  <si>
    <t>de 2,2 ori</t>
  </si>
  <si>
    <t>mii dolari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</si>
  <si>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</si>
  <si>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</si>
  <si>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</si>
  <si>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</si>
  <si>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</si>
  <si>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</si>
  <si>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Oman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</si>
  <si>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</si>
  <si>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</si>
  <si>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</si>
  <si>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</si>
  <si>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</si>
  <si>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</si>
  <si>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</si>
  <si>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</si>
  <si>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</si>
  <si>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</si>
  <si>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</si>
  <si>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</si>
  <si>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</si>
  <si>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Panama</t>
  </si>
  <si>
    <t>ins.Virgine Britanice</t>
  </si>
  <si>
    <t>Qatar</t>
  </si>
  <si>
    <t xml:space="preserve">. </t>
  </si>
  <si>
    <t>Gibraltar</t>
  </si>
  <si>
    <t>Ponderea, %</t>
  </si>
  <si>
    <t>Swaziland</t>
  </si>
  <si>
    <t>de 2,9 ori</t>
  </si>
  <si>
    <t>de 2,3 ori</t>
  </si>
  <si>
    <t>de 2,7 ori</t>
  </si>
  <si>
    <t>de 39,2 ori</t>
  </si>
  <si>
    <t>Andorra</t>
  </si>
  <si>
    <t>de 3,7 ori</t>
  </si>
  <si>
    <t>de 4,7 ori</t>
  </si>
  <si>
    <t>de 4,5 ori</t>
  </si>
  <si>
    <t>Ianuarie-februarie 2018</t>
  </si>
  <si>
    <t>în % faţă de ianuarie-februarie 2017¹</t>
  </si>
  <si>
    <t>2018¹</t>
  </si>
  <si>
    <t>ianuarie-februarie</t>
  </si>
  <si>
    <t>Ianuarie-februarie</t>
  </si>
  <si>
    <t>mii dolari         SUA</t>
  </si>
  <si>
    <t>Kirgizstan</t>
  </si>
  <si>
    <t>Belize</t>
  </si>
  <si>
    <t>Angola</t>
  </si>
  <si>
    <t>Nepal</t>
  </si>
  <si>
    <t>de 4,6 ori</t>
  </si>
  <si>
    <t>de 10,9 ori</t>
  </si>
  <si>
    <t>de 5,9 ori</t>
  </si>
  <si>
    <t>de 3,2 ori</t>
  </si>
  <si>
    <t>de 5,5 ori</t>
  </si>
  <si>
    <t>de 436,7 ori</t>
  </si>
  <si>
    <t>de 3,6 ori</t>
  </si>
  <si>
    <t>de 150,0 ori</t>
  </si>
  <si>
    <t>de 4,3 ori</t>
  </si>
  <si>
    <t>de 6,2 ori</t>
  </si>
  <si>
    <t>de 808,0 ori</t>
  </si>
  <si>
    <t>de 5,4 ori</t>
  </si>
  <si>
    <t>de 268,7 ori</t>
  </si>
  <si>
    <t>de 10,6 ori</t>
  </si>
  <si>
    <t>ins. Faroe</t>
  </si>
  <si>
    <t>-</t>
  </si>
  <si>
    <t>de 4,8 ori</t>
  </si>
  <si>
    <t>de 9,4 ori</t>
  </si>
  <si>
    <t>de 4,2 ori</t>
  </si>
  <si>
    <t>de 689,9 ori</t>
  </si>
  <si>
    <t>de 29,2 ori</t>
  </si>
  <si>
    <t>de 9,0 ori</t>
  </si>
  <si>
    <t>de 7,3 ori</t>
  </si>
  <si>
    <t>de 5,8 ori</t>
  </si>
  <si>
    <t>de 6,8 ori</t>
  </si>
  <si>
    <t>de 8688,6 ori</t>
  </si>
  <si>
    <t>Transport maritim</t>
  </si>
  <si>
    <t>Transport feroviar</t>
  </si>
  <si>
    <t>Transport rutier</t>
  </si>
  <si>
    <t>Transport aerian</t>
  </si>
  <si>
    <t>Celelalte țări ale lumii</t>
  </si>
  <si>
    <t>Țările CSI</t>
  </si>
  <si>
    <t>Țările Uniunii Europene</t>
  </si>
  <si>
    <t>Expedieri poștale</t>
  </si>
  <si>
    <t>Instalații fixe de transport</t>
  </si>
  <si>
    <t>Autopropulsie</t>
  </si>
  <si>
    <t>de 9,3 ori</t>
  </si>
  <si>
    <t>de 7,8 ori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</si>
  <si>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</si>
  <si>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</si>
  <si>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</si>
  <si>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</si>
  <si>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</si>
  <si>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</si>
  <si>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</si>
  <si>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</si>
  <si>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</si>
  <si>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Ianuarie-februarie 2018    în % faţă de                          ianuarie-februarie 2017¹</t>
  </si>
  <si>
    <t>Gradul de influenţă a grupelor de mărfuri  la creşterea (+),  scăderea (-) importurilor, %</t>
  </si>
  <si>
    <t>Gradul de influenţă a ţărilor, grupelor de ţări  la creşterea (+),  scăderea (-) importurilor, 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</si>
</sst>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60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2" fontId="5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4" fontId="15" fillId="0" borderId="11" xfId="0" applyNumberFormat="1" applyFont="1" applyFill="1" applyBorder="1" applyAlignment="1" applyProtection="1">
      <alignment horizontal="right" vertical="top"/>
      <protection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5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Alignment="1">
      <alignment horizontal="right" vertical="top"/>
    </xf>
    <xf numFmtId="2" fontId="15" fillId="0" borderId="0" xfId="0" applyNumberFormat="1" applyFont="1" applyAlignment="1">
      <alignment horizontal="right" vertical="top"/>
    </xf>
    <xf numFmtId="2" fontId="14" fillId="0" borderId="0" xfId="0" applyNumberFormat="1" applyFont="1" applyAlignment="1">
      <alignment horizontal="right" vertical="top"/>
    </xf>
    <xf numFmtId="4" fontId="15" fillId="0" borderId="0" xfId="0" applyNumberFormat="1" applyFont="1" applyFill="1" applyBorder="1" applyAlignment="1" applyProtection="1">
      <alignment horizontal="right" vertical="top"/>
      <protection/>
    </xf>
    <xf numFmtId="2" fontId="15" fillId="0" borderId="11" xfId="0" applyNumberFormat="1" applyFont="1" applyFill="1" applyBorder="1" applyAlignment="1" applyProtection="1">
      <alignment horizontal="right" vertical="top"/>
      <protection/>
    </xf>
    <xf numFmtId="2" fontId="14" fillId="0" borderId="0" xfId="0" applyNumberFormat="1" applyFont="1" applyFill="1" applyAlignment="1" applyProtection="1">
      <alignment horizontal="right" vertical="top"/>
      <protection/>
    </xf>
    <xf numFmtId="2" fontId="11" fillId="0" borderId="0" xfId="0" applyNumberFormat="1" applyFont="1" applyFill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14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4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85"/>
  <sheetViews>
    <sheetView tabSelected="1" zoomScalePageLayoutView="0" workbookViewId="0" topLeftCell="A1">
      <selection activeCell="I20" sqref="I20"/>
    </sheetView>
  </sheetViews>
  <sheetFormatPr defaultColWidth="9.00390625" defaultRowHeight="15.75"/>
  <cols>
    <col min="1" max="1" width="33.375" style="16" customWidth="1"/>
    <col min="2" max="2" width="11.125" style="16" customWidth="1"/>
    <col min="3" max="3" width="10.00390625" style="16" customWidth="1"/>
    <col min="4" max="4" width="7.875" style="16" customWidth="1"/>
    <col min="5" max="5" width="7.625" style="16" customWidth="1"/>
    <col min="6" max="7" width="9.75390625" style="16" customWidth="1"/>
  </cols>
  <sheetData>
    <row r="1" spans="1:7" ht="15.75">
      <c r="A1" s="64" t="s">
        <v>267</v>
      </c>
      <c r="B1" s="64"/>
      <c r="C1" s="64"/>
      <c r="D1" s="64"/>
      <c r="E1" s="64"/>
      <c r="F1" s="64"/>
      <c r="G1" s="64"/>
    </row>
    <row r="3" spans="1:7" ht="55.5" customHeight="1">
      <c r="A3" s="65"/>
      <c r="B3" s="68" t="s">
        <v>219</v>
      </c>
      <c r="C3" s="69"/>
      <c r="D3" s="68" t="s">
        <v>209</v>
      </c>
      <c r="E3" s="69"/>
      <c r="F3" s="70" t="s">
        <v>1</v>
      </c>
      <c r="G3" s="71"/>
    </row>
    <row r="4" spans="1:7" ht="27" customHeight="1">
      <c r="A4" s="66"/>
      <c r="B4" s="72" t="s">
        <v>183</v>
      </c>
      <c r="C4" s="74" t="s">
        <v>220</v>
      </c>
      <c r="D4" s="76" t="s">
        <v>222</v>
      </c>
      <c r="E4" s="76"/>
      <c r="F4" s="76" t="s">
        <v>222</v>
      </c>
      <c r="G4" s="68"/>
    </row>
    <row r="5" spans="1:7" ht="31.5" customHeight="1">
      <c r="A5" s="67"/>
      <c r="B5" s="73"/>
      <c r="C5" s="75"/>
      <c r="D5" s="48">
        <v>2017</v>
      </c>
      <c r="E5" s="48">
        <v>2018</v>
      </c>
      <c r="F5" s="48" t="s">
        <v>177</v>
      </c>
      <c r="G5" s="44" t="s">
        <v>221</v>
      </c>
    </row>
    <row r="6" spans="1:7" ht="15.75" customHeight="1">
      <c r="A6" s="30" t="s">
        <v>28</v>
      </c>
      <c r="B6" s="43">
        <f>IF(436254.68473="","-",436254.68473)</f>
        <v>436254.68473</v>
      </c>
      <c r="C6" s="43">
        <f>IF(316064.44449="","-",436254.68473/316064.44449*100)</f>
        <v>138.02713096499616</v>
      </c>
      <c r="D6" s="43">
        <v>100</v>
      </c>
      <c r="E6" s="43">
        <v>100</v>
      </c>
      <c r="F6" s="43">
        <f>IF(255220.70381="","-",(316064.44449-255220.70381)/255220.70381*100)</f>
        <v>23.839657117039913</v>
      </c>
      <c r="G6" s="43">
        <f>IF(316064.44449="","-",(436254.68473-316064.44449)/316064.44449*100)</f>
        <v>38.02713096499618</v>
      </c>
    </row>
    <row r="7" spans="1:7" ht="13.5" customHeight="1">
      <c r="A7" s="14" t="s">
        <v>2</v>
      </c>
      <c r="B7" s="31"/>
      <c r="C7" s="32"/>
      <c r="D7" s="33"/>
      <c r="E7" s="33"/>
      <c r="F7" s="33"/>
      <c r="G7" s="33"/>
    </row>
    <row r="8" spans="1:7" ht="15.75" customHeight="1">
      <c r="A8" s="15" t="s">
        <v>3</v>
      </c>
      <c r="B8" s="23">
        <f>IF(293312.57035="","-",293312.57035)</f>
        <v>293312.57035</v>
      </c>
      <c r="C8" s="23">
        <f>IF(209249.29474="","-",293312.57035/209249.29474*100)</f>
        <v>140.1737438180863</v>
      </c>
      <c r="D8" s="23">
        <f>IF(209249.29474="","-",209249.29474/316064.44449*100)</f>
        <v>66.20462958990645</v>
      </c>
      <c r="E8" s="23">
        <f>IF(293312.57035="","-",293312.57035/436254.68473*100)</f>
        <v>67.23425114197512</v>
      </c>
      <c r="F8" s="23">
        <f>IF(255220.70381="","-",(209249.29474-167823.53998)/255220.70381*100)</f>
        <v>16.23134571043248</v>
      </c>
      <c r="G8" s="23">
        <f>IF(316064.44449="","-",(293312.57035-209249.29474)/316064.44449*100)</f>
        <v>26.59687828716199</v>
      </c>
    </row>
    <row r="9" spans="1:7" s="26" customFormat="1" ht="15.75">
      <c r="A9" s="39" t="s">
        <v>4</v>
      </c>
      <c r="B9" s="24">
        <f>IF(104922.07445="","-",104922.07445)</f>
        <v>104922.07445</v>
      </c>
      <c r="C9" s="24">
        <f>IF(OR(75922.97854="",104922.07445=""),"-",104922.07445/75922.97854*100)</f>
        <v>138.19541391506635</v>
      </c>
      <c r="D9" s="24">
        <f>IF(75922.97854="","-",75922.97854/316064.44449*100)</f>
        <v>24.021360157264425</v>
      </c>
      <c r="E9" s="24">
        <f>IF(104922.07445="","-",104922.07445/436254.68473*100)</f>
        <v>24.050647046904892</v>
      </c>
      <c r="F9" s="24">
        <f>IF(OR(255220.70381="",59447.27971="",75922.97854=""),"-",(75922.97854-59447.27971)/255220.70381*100)</f>
        <v>6.4554711212870055</v>
      </c>
      <c r="G9" s="24">
        <f>IF(OR(316064.44449="",104922.07445="",75922.97854=""),"-",(104922.07445-75922.97854)/316064.44449*100)</f>
        <v>9.175057940095982</v>
      </c>
    </row>
    <row r="10" spans="1:7" s="26" customFormat="1" ht="15.75">
      <c r="A10" s="39" t="s">
        <v>5</v>
      </c>
      <c r="B10" s="24">
        <f>IF(47689.46772="","-",47689.46772)</f>
        <v>47689.46772</v>
      </c>
      <c r="C10" s="24">
        <f>IF(OR(32210.94098="",47689.46772=""),"-",47689.46772/32210.94098*100)</f>
        <v>148.05363106160334</v>
      </c>
      <c r="D10" s="24">
        <f>IF(32210.94098="","-",32210.94098/316064.44449*100)</f>
        <v>10.191257365875307</v>
      </c>
      <c r="E10" s="24">
        <f>IF(47689.46772="","-",47689.46772/436254.68473*100)</f>
        <v>10.931565754878994</v>
      </c>
      <c r="F10" s="24">
        <f>IF(OR(255220.70381="",27286.5957="",32210.94098=""),"-",(32210.94098-27286.5957)/255220.70381*100)</f>
        <v>1.929445850782523</v>
      </c>
      <c r="G10" s="24">
        <f>IF(OR(316064.44449="",47689.46772="",32210.94098=""),"-",(47689.46772-32210.94098)/316064.44449*100)</f>
        <v>4.897269215136196</v>
      </c>
    </row>
    <row r="11" spans="1:7" s="26" customFormat="1" ht="15.75">
      <c r="A11" s="39" t="s">
        <v>6</v>
      </c>
      <c r="B11" s="24">
        <f>IF(39183.93116="","-",39183.93116)</f>
        <v>39183.93116</v>
      </c>
      <c r="C11" s="24" t="s">
        <v>200</v>
      </c>
      <c r="D11" s="24">
        <f>IF(23222.9787="","-",23222.9787/316064.44449*100)</f>
        <v>7.347545446775097</v>
      </c>
      <c r="E11" s="24">
        <f>IF(39183.93116="","-",39183.93116/436254.68473*100)</f>
        <v>8.981893497430548</v>
      </c>
      <c r="F11" s="24">
        <f>IF(OR(255220.70381="",19102.30256="",23222.9787=""),"-",(23222.9787-19102.30256)/255220.70381*100)</f>
        <v>1.614554022650001</v>
      </c>
      <c r="G11" s="24">
        <f>IF(OR(316064.44449="",39183.93116="",23222.9787=""),"-",(39183.93116-23222.9787)/316064.44449*100)</f>
        <v>5.04990445405984</v>
      </c>
    </row>
    <row r="12" spans="1:7" s="26" customFormat="1" ht="15.75">
      <c r="A12" s="39" t="s">
        <v>195</v>
      </c>
      <c r="B12" s="24">
        <f>IF(19407.13131="","-",19407.13131)</f>
        <v>19407.13131</v>
      </c>
      <c r="C12" s="24">
        <f>IF(OR(19743.98593="",19407.13131=""),"-",19407.13131/19743.98593*100)</f>
        <v>98.29388745922796</v>
      </c>
      <c r="D12" s="24">
        <f>IF(19743.98593="","-",19743.98593/316064.44449*100)</f>
        <v>6.246822847112333</v>
      </c>
      <c r="E12" s="24">
        <f>IF(19407.13131="","-",19407.13131/436254.68473*100)</f>
        <v>4.448578316588431</v>
      </c>
      <c r="F12" s="24">
        <f>IF(OR(255220.70381="",14880.28511="",19743.98593=""),"-",(19743.98593-14880.28511)/255220.70381*100)</f>
        <v>1.9056842753716399</v>
      </c>
      <c r="G12" s="24">
        <f>IF(OR(316064.44449="",19407.13131="",19743.98593=""),"-",(19407.13131-19743.98593)/316064.44449*100)</f>
        <v>-0.10657782799439688</v>
      </c>
    </row>
    <row r="13" spans="1:7" s="26" customFormat="1" ht="15.75">
      <c r="A13" s="39" t="s">
        <v>7</v>
      </c>
      <c r="B13" s="24">
        <f>IF(14247.93817="","-",14247.93817)</f>
        <v>14247.93817</v>
      </c>
      <c r="C13" s="24">
        <f>IF(OR(9750.55717="",14247.93817=""),"-",14247.93817/9750.55717*100)</f>
        <v>146.12434880990497</v>
      </c>
      <c r="D13" s="24">
        <f>IF(9750.55717="","-",9750.55717/316064.44449*100)</f>
        <v>3.0849902100609414</v>
      </c>
      <c r="E13" s="24">
        <f>IF(14247.93817="","-",14247.93817/436254.68473*100)</f>
        <v>3.2659679468698686</v>
      </c>
      <c r="F13" s="24">
        <f>IF(OR(255220.70381="",10492.4195="",9750.55717=""),"-",(9750.55717-10492.4195)/255220.70381*100)</f>
        <v>-0.29067482336867234</v>
      </c>
      <c r="G13" s="24">
        <f>IF(OR(316064.44449="",14247.93817="",9750.55717=""),"-",(14247.93817-9750.55717)/316064.44449*100)</f>
        <v>1.422931645239929</v>
      </c>
    </row>
    <row r="14" spans="1:7" s="26" customFormat="1" ht="15.75">
      <c r="A14" s="39" t="s">
        <v>116</v>
      </c>
      <c r="B14" s="24">
        <f>IF(10242.00963="","-",10242.00963)</f>
        <v>10242.00963</v>
      </c>
      <c r="C14" s="24" t="s">
        <v>199</v>
      </c>
      <c r="D14" s="24">
        <f>IF(5696.82174="","-",5696.82174/316064.44449*100)</f>
        <v>1.8024241066382403</v>
      </c>
      <c r="E14" s="24">
        <f>IF(10242.00963="","-",10242.00963/436254.68473*100)</f>
        <v>2.347713385894945</v>
      </c>
      <c r="F14" s="24">
        <f>IF(OR(255220.70381="",565.75532="",5696.82174=""),"-",(5696.82174-565.75532)/255220.70381*100)</f>
        <v>2.0104428611794134</v>
      </c>
      <c r="G14" s="24">
        <f>IF(OR(316064.44449="",10242.00963="",5696.82174=""),"-",(10242.00963-5696.82174)/316064.44449*100)</f>
        <v>1.4380573231937215</v>
      </c>
    </row>
    <row r="15" spans="1:7" s="28" customFormat="1" ht="15.75">
      <c r="A15" s="39" t="s">
        <v>8</v>
      </c>
      <c r="B15" s="24">
        <f>IF(9343.96284="","-",9343.96284)</f>
        <v>9343.96284</v>
      </c>
      <c r="C15" s="24">
        <f>IF(OR(9191.56261="",9343.96284=""),"-",9343.96284/9191.56261*100)</f>
        <v>101.65804484467304</v>
      </c>
      <c r="D15" s="24">
        <f>IF(9191.56261="","-",9191.56261/316064.44449*100)</f>
        <v>2.9081292661157945</v>
      </c>
      <c r="E15" s="24">
        <f>IF(9343.96284="","-",9343.96284/436254.68473*100)</f>
        <v>2.141859598776119</v>
      </c>
      <c r="F15" s="24">
        <f>IF(OR(255220.70381="",5400.0238="",9191.56261=""),"-",(9191.56261-5400.0238)/255220.70381*100)</f>
        <v>1.4855921770447846</v>
      </c>
      <c r="G15" s="24">
        <f>IF(OR(316064.44449="",9343.96284="",9191.56261=""),"-",(9343.96284-9191.56261)/316064.44449*100)</f>
        <v>0.0482180873732607</v>
      </c>
    </row>
    <row r="16" spans="1:7" s="26" customFormat="1" ht="15.75">
      <c r="A16" s="39" t="s">
        <v>188</v>
      </c>
      <c r="B16" s="24">
        <f>IF(9170.47325="","-",9170.47325)</f>
        <v>9170.47325</v>
      </c>
      <c r="C16" s="24">
        <f>IF(OR(7572.6442="",9170.47325=""),"-",9170.47325/7572.6442*100)</f>
        <v>121.10001484025884</v>
      </c>
      <c r="D16" s="24">
        <f>IF(7572.6442="","-",7572.6442/316064.44449*100)</f>
        <v>2.395917773104526</v>
      </c>
      <c r="E16" s="24">
        <f>IF(9170.47325="","-",9170.47325/436254.68473*100)</f>
        <v>2.1020916384372232</v>
      </c>
      <c r="F16" s="24">
        <f>IF(OR(255220.70381="",9618.78414="",7572.6442=""),"-",(7572.6442-9618.78414)/255220.70381*100)</f>
        <v>-0.8017139320810182</v>
      </c>
      <c r="G16" s="24">
        <f>IF(OR(316064.44449="",9170.47325="",7572.6442=""),"-",(9170.47325-7572.6442)/316064.44449*100)</f>
        <v>0.5055390056854538</v>
      </c>
    </row>
    <row r="17" spans="1:7" s="26" customFormat="1" ht="15.75">
      <c r="A17" s="39" t="s">
        <v>11</v>
      </c>
      <c r="B17" s="24">
        <f>IF(8192.34803="","-",8192.34803)</f>
        <v>8192.34803</v>
      </c>
      <c r="C17" s="24" t="s">
        <v>182</v>
      </c>
      <c r="D17" s="24">
        <f>IF(3794.25994="","-",3794.25994/316064.44449*100)</f>
        <v>1.2004703490525162</v>
      </c>
      <c r="E17" s="24">
        <f>IF(8192.34803="","-",8192.34803/436254.68473*100)</f>
        <v>1.8778819613296027</v>
      </c>
      <c r="F17" s="24">
        <f>IF(OR(255220.70381="",3523.10125="",3794.25994=""),"-",(3794.25994-3523.10125)/255220.70381*100)</f>
        <v>0.10624478576858123</v>
      </c>
      <c r="G17" s="24">
        <f>IF(OR(316064.44449="",8192.34803="",3794.25994=""),"-",(8192.34803-3794.25994)/316064.44449*100)</f>
        <v>1.3915162450799334</v>
      </c>
    </row>
    <row r="18" spans="1:7" s="26" customFormat="1" ht="15.75">
      <c r="A18" s="39" t="s">
        <v>12</v>
      </c>
      <c r="B18" s="24">
        <f>IF(7504.47862="","-",7504.47862)</f>
        <v>7504.47862</v>
      </c>
      <c r="C18" s="24" t="s">
        <v>200</v>
      </c>
      <c r="D18" s="24">
        <f>IF(4363.2437="","-",4363.2437/316064.44449*100)</f>
        <v>1.3804917876923828</v>
      </c>
      <c r="E18" s="24">
        <f>IF(7504.47862="","-",7504.47862/436254.68473*100)</f>
        <v>1.7202058528367563</v>
      </c>
      <c r="F18" s="24">
        <f>IF(OR(255220.70381="",3385.14338="",4363.2437=""),"-",(4363.2437-3385.14338)/255220.70381*100)</f>
        <v>0.38323705929756796</v>
      </c>
      <c r="G18" s="24">
        <f>IF(OR(316064.44449="",7504.47862="",4363.2437=""),"-",(7504.47862-4363.2437)/316064.44449*100)</f>
        <v>0.9938589976701366</v>
      </c>
    </row>
    <row r="19" spans="1:7" s="26" customFormat="1" ht="15.75">
      <c r="A19" s="39" t="s">
        <v>10</v>
      </c>
      <c r="B19" s="24">
        <f>IF(6967.05772="","-",6967.05772)</f>
        <v>6967.05772</v>
      </c>
      <c r="C19" s="24">
        <f>IF(OR(4795.28799="",6967.05772=""),"-",6967.05772/4795.28799*100)</f>
        <v>145.28966215436833</v>
      </c>
      <c r="D19" s="24">
        <f>IF(4795.28799="","-",4795.28799/316064.44449*100)</f>
        <v>1.5171867869344342</v>
      </c>
      <c r="E19" s="24">
        <f>IF(6967.05772="","-",6967.05772/436254.68473*100)</f>
        <v>1.5970161384769872</v>
      </c>
      <c r="F19" s="24">
        <f>IF(OR(255220.70381="",3337.91256="",4795.28799=""),"-",(4795.28799-3337.91256)/255220.70381*100)</f>
        <v>0.5710255509227606</v>
      </c>
      <c r="G19" s="24">
        <f>IF(OR(316064.44449="",6967.05772="",4795.28799=""),"-",(6967.05772-4795.28799)/316064.44449*100)</f>
        <v>0.6871287700533214</v>
      </c>
    </row>
    <row r="20" spans="1:9" s="26" customFormat="1" ht="15.75">
      <c r="A20" s="39" t="s">
        <v>9</v>
      </c>
      <c r="B20" s="24">
        <f>IF(6236.84933="","-",6236.84933)</f>
        <v>6236.84933</v>
      </c>
      <c r="C20" s="24">
        <f>IF(OR(4328.45071="",6236.84933=""),"-",6236.84933/4328.45071*100)</f>
        <v>144.08964657010037</v>
      </c>
      <c r="D20" s="24">
        <f>IF(4328.45071="","-",4328.45071/316064.44449*100)</f>
        <v>1.3694835928110694</v>
      </c>
      <c r="E20" s="24">
        <f>IF(6236.84933="","-",6236.84933/436254.68473*100)</f>
        <v>1.429634923888557</v>
      </c>
      <c r="F20" s="24">
        <f>IF(OR(255220.70381="",4786.32381="",4328.45071=""),"-",(4328.45071-4786.32381)/255220.70381*100)</f>
        <v>-0.17940280438254144</v>
      </c>
      <c r="G20" s="24">
        <f>IF(OR(316064.44449="",6236.84933="",4328.45071=""),"-",(6236.84933-4328.45071)/316064.44449*100)</f>
        <v>0.6038004759059129</v>
      </c>
      <c r="I20" s="26" t="s">
        <v>275</v>
      </c>
    </row>
    <row r="21" spans="1:7" s="26" customFormat="1" ht="15.75">
      <c r="A21" s="39" t="s">
        <v>117</v>
      </c>
      <c r="B21" s="24">
        <f>IF(2643.67995="","-",2643.67995)</f>
        <v>2643.67995</v>
      </c>
      <c r="C21" s="24">
        <f>IF(OR(2046.55692="",2643.67995=""),"-",2643.67995/2046.55692*100)</f>
        <v>129.1769568764303</v>
      </c>
      <c r="D21" s="24">
        <f>IF(2046.55692="","-",2046.55692/316064.44449*100)</f>
        <v>0.6475125423558205</v>
      </c>
      <c r="E21" s="24">
        <f>IF(2643.67995="","-",2643.67995/436254.68473*100)</f>
        <v>0.6059946271147062</v>
      </c>
      <c r="F21" s="24">
        <f>IF(OR(255220.70381="",1110.77562="",2046.55692=""),"-",(2046.55692-1110.77562)/255220.70381*100)</f>
        <v>0.36665571641736633</v>
      </c>
      <c r="G21" s="24">
        <f>IF(OR(316064.44449="",2643.67995="",2046.55692=""),"-",(2643.67995-2046.55692)/316064.44449*100)</f>
        <v>0.18892445525263524</v>
      </c>
    </row>
    <row r="22" spans="1:7" s="16" customFormat="1" ht="15.75">
      <c r="A22" s="39" t="s">
        <v>120</v>
      </c>
      <c r="B22" s="24">
        <f>IF(1866.39971="","-",1866.39971)</f>
        <v>1866.39971</v>
      </c>
      <c r="C22" s="24" t="s">
        <v>199</v>
      </c>
      <c r="D22" s="24">
        <f>IF(1012.53693="","-",1012.53693/316064.44449*100)</f>
        <v>0.32035774591280725</v>
      </c>
      <c r="E22" s="24">
        <f>IF(1866.39971="","-",1866.39971/436254.68473*100)</f>
        <v>0.4278234195135631</v>
      </c>
      <c r="F22" s="24">
        <f>IF(OR(255220.70381="",839.13601="",1012.53693=""),"-",(1012.53693-839.13601)/255220.70381*100)</f>
        <v>0.06794155701768179</v>
      </c>
      <c r="G22" s="24">
        <f>IF(OR(316064.44449="",1866.39971="",1012.53693=""),"-",(1866.39971-1012.53693)/316064.44449*100)</f>
        <v>0.2701546456381035</v>
      </c>
    </row>
    <row r="23" spans="1:7" s="16" customFormat="1" ht="15.75">
      <c r="A23" s="39" t="s">
        <v>119</v>
      </c>
      <c r="B23" s="24">
        <f>IF(1460.87075="","-",1460.87075)</f>
        <v>1460.87075</v>
      </c>
      <c r="C23" s="24">
        <f>IF(OR(1856.8575="",1460.87075=""),"-",1460.87075/1856.8575*100)</f>
        <v>78.67435977181879</v>
      </c>
      <c r="D23" s="24">
        <f>IF(1856.8575="","-",1856.8575/316064.44449*100)</f>
        <v>0.587493320546136</v>
      </c>
      <c r="E23" s="24">
        <f>IF(1460.87075="","-",1460.87075/436254.68473*100)</f>
        <v>0.3348664899505067</v>
      </c>
      <c r="F23" s="24">
        <f>IF(OR(255220.70381="",1164.35418="",1856.8575=""),"-",(1856.8575-1164.35418)/255220.70381*100)</f>
        <v>0.2713350874996163</v>
      </c>
      <c r="G23" s="24">
        <f>IF(OR(316064.44449="",1460.87075="",1856.8575=""),"-",(1460.87075-1856.8575)/316064.44449*100)</f>
        <v>-0.1252867119042644</v>
      </c>
    </row>
    <row r="24" spans="1:7" s="26" customFormat="1" ht="15.75">
      <c r="A24" s="39" t="s">
        <v>118</v>
      </c>
      <c r="B24" s="24">
        <f>IF(1182.22269="","-",1182.22269)</f>
        <v>1182.22269</v>
      </c>
      <c r="C24" s="24">
        <f>IF(OR(792.66167="",1182.22269=""),"-",1182.22269/792.66167*100)</f>
        <v>149.14593889723469</v>
      </c>
      <c r="D24" s="24">
        <f>IF(792.66167="","-",792.66167/316064.44449*100)</f>
        <v>0.2507911547213211</v>
      </c>
      <c r="E24" s="24">
        <f>IF(1182.22269="","-",1182.22269/436254.68473*100)</f>
        <v>0.2709936950549157</v>
      </c>
      <c r="F24" s="24">
        <f>IF(OR(255220.70381="",644.27968="",792.66167=""),"-",(792.66167-644.27968)/255220.70381*100)</f>
        <v>0.0581386963459138</v>
      </c>
      <c r="G24" s="24">
        <f>IF(OR(316064.44449="",1182.22269="",792.66167=""),"-",(1182.22269-792.66167)/316064.44449*100)</f>
        <v>0.1232536676590098</v>
      </c>
    </row>
    <row r="25" spans="1:7" s="26" customFormat="1" ht="15.75">
      <c r="A25" s="39" t="s">
        <v>121</v>
      </c>
      <c r="B25" s="24">
        <f>IF(1012.06542="","-",1012.06542)</f>
        <v>1012.06542</v>
      </c>
      <c r="C25" s="24" t="s">
        <v>200</v>
      </c>
      <c r="D25" s="24">
        <f>IF(582.64008="","-",582.64008/316064.44449*100)</f>
        <v>0.1843421777290214</v>
      </c>
      <c r="E25" s="24">
        <f>IF(1012.06542="","-",1012.06542/436254.68473*100)</f>
        <v>0.23198958210073364</v>
      </c>
      <c r="F25" s="24">
        <f>IF(OR(255220.70381="",786.81312="",582.64008=""),"-",(582.64008-786.81312)/255220.70381*100)</f>
        <v>-0.07999861960728602</v>
      </c>
      <c r="G25" s="24">
        <f>IF(OR(316064.44449="",1012.06542="",582.64008=""),"-",(1012.06542-582.64008)/316064.44449*100)</f>
        <v>0.13586638658230557</v>
      </c>
    </row>
    <row r="26" spans="1:7" s="16" customFormat="1" ht="15.75">
      <c r="A26" s="39" t="s">
        <v>122</v>
      </c>
      <c r="B26" s="24">
        <f>IF(784.29374="","-",784.29374)</f>
        <v>784.29374</v>
      </c>
      <c r="C26" s="24" t="s">
        <v>212</v>
      </c>
      <c r="D26" s="24">
        <f>IF(336.14216="","-",336.14216/316064.44449*100)</f>
        <v>0.10635241194003878</v>
      </c>
      <c r="E26" s="24">
        <f>IF(784.29374="","-",784.29374/436254.68473*100)</f>
        <v>0.17977886942014226</v>
      </c>
      <c r="F26" s="24">
        <f>IF(OR(255220.70381="",742.62631="",336.14216=""),"-",(336.14216-742.62631)/255220.70381*100)</f>
        <v>-0.15926770200532345</v>
      </c>
      <c r="G26" s="24">
        <f>IF(OR(316064.44449="",784.29374="",336.14216=""),"-",(784.29374-336.14216)/316064.44449*100)</f>
        <v>0.14179120360189046</v>
      </c>
    </row>
    <row r="27" spans="1:7" s="16" customFormat="1" ht="15.75">
      <c r="A27" s="39" t="s">
        <v>124</v>
      </c>
      <c r="B27" s="24">
        <f>IF(549.89909="","-",549.89909)</f>
        <v>549.89909</v>
      </c>
      <c r="C27" s="24">
        <f>IF(OR(358.60949="",549.89909=""),"-",549.89909/358.60949*100)</f>
        <v>153.34203509226708</v>
      </c>
      <c r="D27" s="24">
        <f>IF(358.60949="","-",358.60949/316064.44449*100)</f>
        <v>0.11346087680904773</v>
      </c>
      <c r="E27" s="24">
        <f>IF(549.89909="","-",549.89909/436254.68473*100)</f>
        <v>0.12605001373001531</v>
      </c>
      <c r="F27" s="24">
        <f>IF(OR(255220.70381="",255.12513="",358.60949=""),"-",(358.60949-255.12513)/255220.70381*100)</f>
        <v>0.04054700831678581</v>
      </c>
      <c r="G27" s="24">
        <f>IF(OR(316064.44449="",549.89909="",358.60949=""),"-",(549.89909-358.60949)/316064.44449*100)</f>
        <v>0.06052234072347616</v>
      </c>
    </row>
    <row r="28" spans="1:7" s="16" customFormat="1" ht="15.75">
      <c r="A28" s="39" t="s">
        <v>129</v>
      </c>
      <c r="B28" s="24">
        <f>IF(310.00079="","-",310.00079)</f>
        <v>310.00079</v>
      </c>
      <c r="C28" s="24" t="s">
        <v>186</v>
      </c>
      <c r="D28" s="24">
        <f>IF(118.65172="","-",118.65172/316064.44449*100)</f>
        <v>0.03754035674321286</v>
      </c>
      <c r="E28" s="24">
        <f>IF(310.00079="","-",310.00079/436254.68473*100)</f>
        <v>0.07105958992551814</v>
      </c>
      <c r="F28" s="24">
        <f>IF(OR(255220.70381="",2.626="",118.65172=""),"-",(118.65172-2.626)/255220.70381*100)</f>
        <v>0.04546093567956609</v>
      </c>
      <c r="G28" s="24">
        <f>IF(OR(316064.44449="",310.00079="",118.65172=""),"-",(310.00079-118.65172)/316064.44449*100)</f>
        <v>0.060541156506471294</v>
      </c>
    </row>
    <row r="29" spans="1:7" s="16" customFormat="1" ht="15.75">
      <c r="A29" s="39" t="s">
        <v>126</v>
      </c>
      <c r="B29" s="24">
        <f>IF(155.59583="","-",155.59583)</f>
        <v>155.59583</v>
      </c>
      <c r="C29" s="24">
        <f>IF(OR(353.5012="",155.59583=""),"-",155.59583/353.5012*100)</f>
        <v>44.01564407702153</v>
      </c>
      <c r="D29" s="24">
        <f>IF(353.5012="","-",353.5012/316064.44449*100)</f>
        <v>0.11184465894935058</v>
      </c>
      <c r="E29" s="24">
        <f>IF(155.59583="","-",155.59583/436254.68473*100)</f>
        <v>0.03566628289534563</v>
      </c>
      <c r="F29" s="24">
        <f>IF(OR(255220.70381="",132.82357="",353.5012=""),"-",(353.5012-132.82357)/255220.70381*100)</f>
        <v>0.0864654108015799</v>
      </c>
      <c r="G29" s="24">
        <f>IF(OR(316064.44449="",155.59583="",353.5012=""),"-",(155.59583-353.5012)/316064.44449*100)</f>
        <v>-0.06261551194704583</v>
      </c>
    </row>
    <row r="30" spans="1:7" s="16" customFormat="1" ht="15.75">
      <c r="A30" s="39" t="s">
        <v>189</v>
      </c>
      <c r="B30" s="24">
        <f>IF(124.59162="","-",124.59162)</f>
        <v>124.59162</v>
      </c>
      <c r="C30" s="24" t="s">
        <v>229</v>
      </c>
      <c r="D30" s="24">
        <f>IF(27.09488="","-",27.09488/316064.44449*100)</f>
        <v>0.008572580836708843</v>
      </c>
      <c r="E30" s="24">
        <f>IF(124.59162="","-",124.59162/436254.68473*100)</f>
        <v>0.02855937697886507</v>
      </c>
      <c r="F30" s="24">
        <f>IF(OR(255220.70381="",55.63574="",27.09488=""),"-",(27.09488-55.63574)/255220.70381*100)</f>
        <v>-0.011182815333526918</v>
      </c>
      <c r="G30" s="24">
        <f>IF(OR(316064.44449="",124.59162="",27.09488=""),"-",(124.59162-27.09488)/316064.44449*100)</f>
        <v>0.030847107828696214</v>
      </c>
    </row>
    <row r="31" spans="1:7" s="16" customFormat="1" ht="15.75">
      <c r="A31" s="39" t="s">
        <v>123</v>
      </c>
      <c r="B31" s="24">
        <f>IF(102.90893="","-",102.90893)</f>
        <v>102.90893</v>
      </c>
      <c r="C31" s="24">
        <f>IF(OR(1094.57735="",102.90893=""),"-",102.90893/1094.57735*100)</f>
        <v>9.401704685374678</v>
      </c>
      <c r="D31" s="24">
        <f>IF(1094.57735="","-",1094.57735/316064.44449*100)</f>
        <v>0.3463146105428608</v>
      </c>
      <c r="E31" s="24">
        <f>IF(102.90893="","-",102.90893/436254.68473*100)</f>
        <v>0.02358918622586043</v>
      </c>
      <c r="F31" s="24">
        <f>IF(OR(255220.70381="",35.67962="",1094.57735=""),"-",(1094.57735-35.67962)/255220.70381*100)</f>
        <v>0.41489491808168527</v>
      </c>
      <c r="G31" s="24">
        <f>IF(OR(316064.44449="",102.90893="",1094.57735=""),"-",(102.90893-1094.57735)/316064.44449*100)</f>
        <v>-0.31375513357731555</v>
      </c>
    </row>
    <row r="32" spans="1:7" s="16" customFormat="1" ht="15.75">
      <c r="A32" s="39" t="s">
        <v>127</v>
      </c>
      <c r="B32" s="24">
        <f>IF(10.68725="","-",10.68725)</f>
        <v>10.68725</v>
      </c>
      <c r="C32" s="24" t="s">
        <v>230</v>
      </c>
      <c r="D32" s="24">
        <f>IF(0.97796="","-",0.97796/316064.44449*100)</f>
        <v>0.00030941791050810265</v>
      </c>
      <c r="E32" s="24">
        <f>IF(10.68725="","-",10.68725/436254.68473*100)</f>
        <v>0.0024497731197120295</v>
      </c>
      <c r="F32" s="24">
        <f>IF(OR(255220.70381="",113.61962="",0.97796=""),"-",(0.97796-113.61962)/255220.70381*100)</f>
        <v>-0.044135000929962365</v>
      </c>
      <c r="G32" s="24">
        <f>IF(OR(316064.44449="",10.68725="",0.97796=""),"-",(10.68725-0.97796)/316064.44449*100)</f>
        <v>0.003071933641782094</v>
      </c>
    </row>
    <row r="33" spans="1:7" s="16" customFormat="1" ht="15.75">
      <c r="A33" s="39" t="s">
        <v>125</v>
      </c>
      <c r="B33" s="24">
        <f>IF(1.63235="","-",1.63235)</f>
        <v>1.63235</v>
      </c>
      <c r="C33" s="24">
        <f>IF(OR(21.23394="",1.63235=""),"-",1.63235/21.23394*100)</f>
        <v>7.687456967477538</v>
      </c>
      <c r="D33" s="24">
        <f>IF(21.23394="","-",21.23394/316064.44449*100)</f>
        <v>0.006718231161452842</v>
      </c>
      <c r="E33" s="24">
        <f>IF(1.63235="","-",1.63235/436254.68473*100)</f>
        <v>0.0003741736323153226</v>
      </c>
      <c r="F33" s="24">
        <f>IF(OR(255220.70381="",0.24769="",21.23394=""),"-",(21.23394-0.24769)/255220.70381*100)</f>
        <v>0.008222785098039418</v>
      </c>
      <c r="G33" s="24">
        <f>IF(OR(316064.44449="",1.63235="",21.23394=""),"-",(1.63235-21.23394)/316064.44449*100)</f>
        <v>-0.006201770031940488</v>
      </c>
    </row>
    <row r="34" spans="1:7" s="16" customFormat="1" ht="14.25" customHeight="1">
      <c r="A34" s="15" t="s">
        <v>13</v>
      </c>
      <c r="B34" s="23">
        <f>IF(70841.35371="","-",70841.35371)</f>
        <v>70841.35371</v>
      </c>
      <c r="C34" s="23">
        <f>IF(61110.66655="","-",70841.35371/61110.66655*100)</f>
        <v>115.92305845991461</v>
      </c>
      <c r="D34" s="23">
        <f>IF(61110.66655="","-",61110.66655/316064.44449*100)</f>
        <v>19.33487540764285</v>
      </c>
      <c r="E34" s="23">
        <f>IF(70841.35371="","-",70841.35371/436254.68473*100)</f>
        <v>16.23853134181104</v>
      </c>
      <c r="F34" s="23">
        <f>IF(255220.70381="","-",(61110.66655-48329.84584)/255220.70381*100)</f>
        <v>5.007752317584207</v>
      </c>
      <c r="G34" s="23">
        <f>IF(316064.44449="","-",(70841.35371-61110.66655)/316064.44449*100)</f>
        <v>3.078703514310628</v>
      </c>
    </row>
    <row r="35" spans="1:7" s="27" customFormat="1" ht="14.25" customHeight="1">
      <c r="A35" s="39" t="s">
        <v>196</v>
      </c>
      <c r="B35" s="24">
        <f>IF(40616.93944="","-",40616.93944)</f>
        <v>40616.93944</v>
      </c>
      <c r="C35" s="24">
        <f>IF(OR(36255.25983="",40616.93944=""),"-",40616.93944/36255.25983*100)</f>
        <v>112.03047400694908</v>
      </c>
      <c r="D35" s="24">
        <f>IF(36255.25983="","-",36255.25983/316064.44449*100)</f>
        <v>11.470844146516166</v>
      </c>
      <c r="E35" s="24">
        <f>IF(40616.93944="","-",40616.93944/436254.68473*100)</f>
        <v>9.310373243358523</v>
      </c>
      <c r="F35" s="24">
        <f>IF(OR(255220.70381="",21626.54389="",36255.25983=""),"-",(36255.25983-21626.54389)/255220.70381*100)</f>
        <v>5.731790454935194</v>
      </c>
      <c r="G35" s="24">
        <f>IF(OR(316064.44449="",40616.93944="",36255.25983=""),"-",(40616.93944-36255.25983)/316064.44449*100)</f>
        <v>1.3799969234242666</v>
      </c>
    </row>
    <row r="36" spans="1:7" s="27" customFormat="1" ht="14.25" customHeight="1">
      <c r="A36" s="39" t="s">
        <v>14</v>
      </c>
      <c r="B36" s="24">
        <f>IF(15813.42768="","-",15813.42768)</f>
        <v>15813.42768</v>
      </c>
      <c r="C36" s="24">
        <f>IF(OR(15271.35763="",15813.42768=""),"-",15813.42768/15271.35763*100)</f>
        <v>103.54958650785</v>
      </c>
      <c r="D36" s="24">
        <f>IF(15271.35763="","-",15271.35763/316064.44449*100)</f>
        <v>4.831722737634024</v>
      </c>
      <c r="E36" s="24">
        <f>IF(15813.42768="","-",15813.42768/436254.68473*100)</f>
        <v>3.6248155569462837</v>
      </c>
      <c r="F36" s="24">
        <f>IF(OR(255220.70381="",17603.77638="",15271.35763=""),"-",(15271.35763-17603.77638)/255220.70381*100)</f>
        <v>-0.9138830491339671</v>
      </c>
      <c r="G36" s="24">
        <f>IF(OR(316064.44449="",15813.42768="",15271.35763=""),"-",(15813.42768-15271.35763)/316064.44449*100)</f>
        <v>0.1715061783917776</v>
      </c>
    </row>
    <row r="37" spans="1:7" s="27" customFormat="1" ht="14.25" customHeight="1">
      <c r="A37" s="39" t="s">
        <v>15</v>
      </c>
      <c r="B37" s="24">
        <f>IF(11038.57897="","-",11038.57897)</f>
        <v>11038.57897</v>
      </c>
      <c r="C37" s="24" t="s">
        <v>201</v>
      </c>
      <c r="D37" s="24">
        <f>IF(7088.00633="","-",7088.00633/316064.44449*100)</f>
        <v>2.2425826294498803</v>
      </c>
      <c r="E37" s="24">
        <f>IF(11038.57897="","-",11038.57897/436254.68473*100)</f>
        <v>2.5303061162155376</v>
      </c>
      <c r="F37" s="24">
        <f>IF(OR(255220.70381="",6760.78091="",7088.00633=""),"-",(7088.00633-6760.78091)/255220.70381*100)</f>
        <v>0.12821272534519923</v>
      </c>
      <c r="G37" s="24">
        <f>IF(OR(316064.44449="",11038.57897="",7088.00633=""),"-",(11038.57897-7088.00633)/316064.44449*100)</f>
        <v>1.2499263073942481</v>
      </c>
    </row>
    <row r="38" spans="1:7" s="22" customFormat="1" ht="14.25" customHeight="1">
      <c r="A38" s="39" t="s">
        <v>16</v>
      </c>
      <c r="B38" s="24">
        <f>IF(1732.12305="","-",1732.12305)</f>
        <v>1732.12305</v>
      </c>
      <c r="C38" s="24" t="s">
        <v>200</v>
      </c>
      <c r="D38" s="24">
        <f>IF(1040.26171="","-",1040.26171/316064.44449*100)</f>
        <v>0.32912962154871955</v>
      </c>
      <c r="E38" s="24">
        <f>IF(1732.12305="","-",1732.12305/436254.68473*100)</f>
        <v>0.3970439998992833</v>
      </c>
      <c r="F38" s="24">
        <f>IF(OR(255220.70381="",1063.7435="",1040.26171=""),"-",(1040.26171-1063.7435)/255220.70381*100)</f>
        <v>-0.009200581947098285</v>
      </c>
      <c r="G38" s="24">
        <f>IF(OR(316064.44449="",1732.12305="",1040.26171=""),"-",(1732.12305-1040.26171)/316064.44449*100)</f>
        <v>0.2188988201809235</v>
      </c>
    </row>
    <row r="39" spans="1:7" s="27" customFormat="1" ht="14.25" customHeight="1">
      <c r="A39" s="39" t="s">
        <v>17</v>
      </c>
      <c r="B39" s="24">
        <f>IF(808.28391="","-",808.28391)</f>
        <v>808.28391</v>
      </c>
      <c r="C39" s="24">
        <f>IF(OR(653.51646="",808.28391=""),"-",808.28391/653.51646*100)</f>
        <v>123.68225736808525</v>
      </c>
      <c r="D39" s="24">
        <f>IF(653.51646="","-",653.51646/316064.44449*100)</f>
        <v>0.20676683865991663</v>
      </c>
      <c r="E39" s="24">
        <f>IF(808.28391="","-",808.28391/436254.68473*100)</f>
        <v>0.1852779897367178</v>
      </c>
      <c r="F39" s="24">
        <f>IF(OR(255220.70381="",426.73697="",653.51646=""),"-",(653.51646-426.73697)/255220.70381*100)</f>
        <v>0.08885622781168526</v>
      </c>
      <c r="G39" s="24">
        <f>IF(OR(316064.44449="",808.28391="",653.51646=""),"-",(808.28391-653.51646)/316064.44449*100)</f>
        <v>0.04896705488329505</v>
      </c>
    </row>
    <row r="40" spans="1:7" s="22" customFormat="1" ht="14.25" customHeight="1">
      <c r="A40" s="39" t="s">
        <v>21</v>
      </c>
      <c r="B40" s="24">
        <f>IF(304.44762="","-",304.44762)</f>
        <v>304.44762</v>
      </c>
      <c r="C40" s="24" t="s">
        <v>186</v>
      </c>
      <c r="D40" s="24">
        <f>IF(115.69592="","-",115.69592/316064.44449*100)</f>
        <v>0.03660516771719968</v>
      </c>
      <c r="E40" s="24">
        <f>IF(304.44762="","-",304.44762/436254.68473*100)</f>
        <v>0.0697866706436457</v>
      </c>
      <c r="F40" s="24">
        <f>IF(OR(255220.70381="",131.68478="",115.69592=""),"-",(115.69592-131.68478)/255220.70381*100)</f>
        <v>-0.006264719029966689</v>
      </c>
      <c r="G40" s="24">
        <f>IF(OR(316064.44449="",304.44762="",115.69592=""),"-",(304.44762-115.69592)/316064.44449*100)</f>
        <v>0.0597193715682157</v>
      </c>
    </row>
    <row r="41" spans="1:7" s="22" customFormat="1" ht="14.25" customHeight="1">
      <c r="A41" s="39" t="s">
        <v>18</v>
      </c>
      <c r="B41" s="24">
        <f>IF(300.9674="","-",300.9674)</f>
        <v>300.9674</v>
      </c>
      <c r="C41" s="24">
        <f>IF(OR(483.08509="",300.9674=""),"-",300.9674/483.08509*100)</f>
        <v>62.30111552397529</v>
      </c>
      <c r="D41" s="24">
        <f>IF(483.08509="","-",483.08509/316064.44449*100)</f>
        <v>0.1528438577706846</v>
      </c>
      <c r="E41" s="24">
        <f>IF(300.9674="","-",300.9674/436254.68473*100)</f>
        <v>0.06898892104419924</v>
      </c>
      <c r="F41" s="24">
        <f>IF(OR(255220.70381="",411.36488="",483.08509=""),"-",(483.08509-411.36488)/255220.70381*100)</f>
        <v>0.028101250772113034</v>
      </c>
      <c r="G41" s="24">
        <f>IF(OR(316064.44449="",300.9674="",483.08509=""),"-",(300.9674-483.08509)/316064.44449*100)</f>
        <v>-0.0576204293696699</v>
      </c>
    </row>
    <row r="42" spans="1:7" s="22" customFormat="1" ht="14.25" customHeight="1">
      <c r="A42" s="39" t="s">
        <v>22</v>
      </c>
      <c r="B42" s="24">
        <f>IF(94.22308="","-",94.22308)</f>
        <v>94.22308</v>
      </c>
      <c r="C42" s="24" t="s">
        <v>201</v>
      </c>
      <c r="D42" s="24">
        <f>IF(59.14096="","-",59.14096/316064.44449*100)</f>
        <v>0.01871167764391517</v>
      </c>
      <c r="E42" s="24">
        <f>IF(94.22308="","-",94.22308/436254.68473*100)</f>
        <v>0.021598181818566625</v>
      </c>
      <c r="F42" s="24">
        <f>IF(OR(255220.70381="",142.90209="",59.14096=""),"-",(59.14096-142.90209)/255220.70381*100)</f>
        <v>-0.03281909686384858</v>
      </c>
      <c r="G42" s="24">
        <f>IF(OR(316064.44449="",94.22308="",59.14096=""),"-",(94.22308-59.14096)/316064.44449*100)</f>
        <v>0.011099673060855778</v>
      </c>
    </row>
    <row r="43" spans="1:7" s="22" customFormat="1" ht="14.25" customHeight="1">
      <c r="A43" s="39" t="s">
        <v>19</v>
      </c>
      <c r="B43" s="24">
        <f>IF(76.41608="","-",76.41608)</f>
        <v>76.41608</v>
      </c>
      <c r="C43" s="24">
        <f>IF(OR(76.74051="",76.41608=""),"-",76.41608/76.74051*100)</f>
        <v>99.57723762847027</v>
      </c>
      <c r="D43" s="24">
        <f>IF(76.74051="","-",76.74051/316064.44449*100)</f>
        <v>0.024280019893989688</v>
      </c>
      <c r="E43" s="24">
        <f>IF(76.41608="","-",76.41608/436254.68473*100)</f>
        <v>0.01751639184053559</v>
      </c>
      <c r="F43" s="24">
        <f>IF(OR(255220.70381="",146.06922="",76.74051=""),"-",(76.74051-146.06922)/255220.70381*100)</f>
        <v>-0.027164218640981425</v>
      </c>
      <c r="G43" s="24">
        <f>IF(OR(316064.44449="",76.41608="",76.74051=""),"-",(76.41608-76.74051)/316064.44449*100)</f>
        <v>-0.00010264678791172011</v>
      </c>
    </row>
    <row r="44" spans="1:7" s="22" customFormat="1" ht="14.25" customHeight="1">
      <c r="A44" s="39" t="s">
        <v>20</v>
      </c>
      <c r="B44" s="24">
        <f>IF(55.94648="","-",55.94648)</f>
        <v>55.94648</v>
      </c>
      <c r="C44" s="24">
        <f>IF(OR(67.60211="",55.94648=""),"-",55.94648/67.60211*100)</f>
        <v>82.7584819467913</v>
      </c>
      <c r="D44" s="24">
        <f>IF(67.60211="","-",67.60211/316064.44449*100)</f>
        <v>0.021388710808355055</v>
      </c>
      <c r="E44" s="24">
        <f>IF(55.94648="","-",55.94648/436254.68473*100)</f>
        <v>0.012824270307750513</v>
      </c>
      <c r="F44" s="24">
        <f>IF(OR(255220.70381="",16.24322="",67.60211=""),"-",(67.60211-16.24322)/255220.70381*100)</f>
        <v>0.020123324335879236</v>
      </c>
      <c r="G44" s="24">
        <f>IF(OR(316064.44449="",55.94648="",67.60211=""),"-",(55.94648-67.60211)/316064.44449*100)</f>
        <v>-0.003687738435371135</v>
      </c>
    </row>
    <row r="45" spans="1:7" s="16" customFormat="1" ht="15.75">
      <c r="A45" s="15" t="s">
        <v>23</v>
      </c>
      <c r="B45" s="23">
        <f>IF(72100.76067="","-",72100.76067)</f>
        <v>72100.76067</v>
      </c>
      <c r="C45" s="23" t="s">
        <v>201</v>
      </c>
      <c r="D45" s="23">
        <f>IF(45704.4832="","-",45704.4832/316064.44449*100)</f>
        <v>14.460495002450694</v>
      </c>
      <c r="E45" s="23">
        <f>IF(72100.76067="","-",72100.76067/436254.68473*100)</f>
        <v>16.527217516213835</v>
      </c>
      <c r="F45" s="23">
        <f>IF(255220.70381="","-",(45704.4832-39067.31799)/255220.70381*100)</f>
        <v>2.600559089023225</v>
      </c>
      <c r="G45" s="23">
        <f>IF(316064.44449="","-",(72100.76067-45704.4832)/316064.44449*100)</f>
        <v>8.351549163523565</v>
      </c>
    </row>
    <row r="46" spans="1:7" s="16" customFormat="1" ht="15.75">
      <c r="A46" s="39" t="s">
        <v>132</v>
      </c>
      <c r="B46" s="24">
        <f>IF(19142.23418="","-",19142.23418)</f>
        <v>19142.23418</v>
      </c>
      <c r="C46" s="24">
        <f>IF(OR(14782.71369="",19142.23418=""),"-",19142.23418/14782.71369*100)</f>
        <v>129.4906644437622</v>
      </c>
      <c r="D46" s="24">
        <f>IF(14782.71369="","-",14782.71369/316064.44449*100)</f>
        <v>4.677120108797214</v>
      </c>
      <c r="E46" s="24">
        <f>IF(19142.23418="","-",19142.23418/436254.68473*100)</f>
        <v>4.387857563488909</v>
      </c>
      <c r="F46" s="24">
        <f>IF(OR(255220.70381="",6290.82386="",14782.71369=""),"-",(14782.71369-6290.82386)/255220.70381*100)</f>
        <v>3.3272731025464997</v>
      </c>
      <c r="G46" s="24">
        <f>IF(OR(316064.44449="",19142.23418="",14782.71369=""),"-",(19142.23418-14782.71369)/316064.44449*100)</f>
        <v>1.3793137969171125</v>
      </c>
    </row>
    <row r="47" spans="1:7" s="26" customFormat="1" ht="15.75">
      <c r="A47" s="39" t="s">
        <v>192</v>
      </c>
      <c r="B47" s="24">
        <f>IF(15076.10028="","-",15076.10028)</f>
        <v>15076.10028</v>
      </c>
      <c r="C47" s="24" t="s">
        <v>194</v>
      </c>
      <c r="D47" s="24">
        <f>IF(4866.04872="","-",4866.04872/316064.44449*100)</f>
        <v>1.5395748572262948</v>
      </c>
      <c r="E47" s="24">
        <f>IF(15076.10028="","-",15076.10028/436254.68473*100)</f>
        <v>3.4558024951252193</v>
      </c>
      <c r="F47" s="24">
        <f>IF(OR(255220.70381="",2294.69536="",4866.04872=""),"-",(4866.04872-2294.69536)/255220.70381*100)</f>
        <v>1.0075018686235788</v>
      </c>
      <c r="G47" s="24">
        <f>IF(OR(316064.44449="",15076.10028="",4866.04872=""),"-",(15076.10028-4866.04872)/316064.44449*100)</f>
        <v>3.2303701786117975</v>
      </c>
    </row>
    <row r="48" spans="1:7" s="28" customFormat="1" ht="15.75">
      <c r="A48" s="39" t="s">
        <v>152</v>
      </c>
      <c r="B48" s="24">
        <f>IF(5469.22497="","-",5469.22497)</f>
        <v>5469.22497</v>
      </c>
      <c r="C48" s="24" t="s">
        <v>231</v>
      </c>
      <c r="D48" s="24">
        <f>IF(924.315="","-",924.315/316064.44449*100)</f>
        <v>0.2924451060895097</v>
      </c>
      <c r="E48" s="24">
        <f>IF(5469.22497="","-",5469.22497/436254.68473*100)</f>
        <v>1.25367707475392</v>
      </c>
      <c r="F48" s="24">
        <f>IF(OR(255220.70381="",244.25818="",924.315=""),"-",(924.315-244.25818)/255220.70381*100)</f>
        <v>0.26645832796788727</v>
      </c>
      <c r="G48" s="24">
        <f>IF(OR(316064.44449="",5469.22497="",924.315=""),"-",(5469.22497-924.315)/316064.44449*100)</f>
        <v>1.437969391759217</v>
      </c>
    </row>
    <row r="49" spans="1:7" s="16" customFormat="1" ht="15.75">
      <c r="A49" s="39" t="s">
        <v>134</v>
      </c>
      <c r="B49" s="24">
        <f>IF(3835.04647="","-",3835.04647)</f>
        <v>3835.04647</v>
      </c>
      <c r="C49" s="24">
        <f>IF(OR(2701.21104="",3835.04647=""),"-",3835.04647/2701.21104*100)</f>
        <v>141.97507759334496</v>
      </c>
      <c r="D49" s="24">
        <f>IF(2701.21104="","-",2701.21104/316064.44449*100)</f>
        <v>0.8546393265964036</v>
      </c>
      <c r="E49" s="24">
        <f>IF(3835.04647="","-",3835.04647/436254.68473*100)</f>
        <v>0.8790843065383993</v>
      </c>
      <c r="F49" s="24">
        <f>IF(OR(255220.70381="",1388.45236="",2701.21104=""),"-",(2701.21104-1388.45236)/255220.70381*100)</f>
        <v>0.5143621424135277</v>
      </c>
      <c r="G49" s="24">
        <f>IF(OR(316064.44449="",3835.04647="",2701.21104=""),"-",(3835.04647-2701.21104)/316064.44449*100)</f>
        <v>0.3587355204820812</v>
      </c>
    </row>
    <row r="50" spans="1:7" s="28" customFormat="1" ht="15.75">
      <c r="A50" s="39" t="s">
        <v>24</v>
      </c>
      <c r="B50" s="24">
        <f>IF(3073.88247="","-",3073.88247)</f>
        <v>3073.88247</v>
      </c>
      <c r="C50" s="24">
        <f>IF(OR(2418.62581="",3073.88247=""),"-",3073.88247/2418.62581*100)</f>
        <v>127.09210566143756</v>
      </c>
      <c r="D50" s="24">
        <f>IF(2418.62581="","-",2418.62581/316064.44449*100)</f>
        <v>0.7652318545044452</v>
      </c>
      <c r="E50" s="24">
        <f>IF(3073.88247="","-",3073.88247/436254.68473*100)</f>
        <v>0.7046073263150033</v>
      </c>
      <c r="F50" s="24">
        <f>IF(OR(255220.70381="",2240.44784="",2418.62581=""),"-",(2418.62581-2240.44784)/255220.70381*100)</f>
        <v>0.06981328996437744</v>
      </c>
      <c r="G50" s="24">
        <f>IF(OR(316064.44449="",3073.88247="",2418.62581=""),"-",(3073.88247-2418.62581)/316064.44449*100)</f>
        <v>0.20731742257732244</v>
      </c>
    </row>
    <row r="51" spans="1:7" s="26" customFormat="1" ht="15.75">
      <c r="A51" s="39" t="s">
        <v>136</v>
      </c>
      <c r="B51" s="24">
        <f>IF(2867.36355="","-",2867.36355)</f>
        <v>2867.36355</v>
      </c>
      <c r="C51" s="24">
        <f>IF(OR(3432.53808="",2867.36355=""),"-",2867.36355/3432.53808*100)</f>
        <v>83.53479213259013</v>
      </c>
      <c r="D51" s="24">
        <f>IF(3432.53808="","-",3432.53808/316064.44449*100)</f>
        <v>1.086024745851665</v>
      </c>
      <c r="E51" s="24">
        <f>IF(2867.36355="","-",2867.36355/436254.68473*100)</f>
        <v>0.6572682541563134</v>
      </c>
      <c r="F51" s="24">
        <f>IF(OR(255220.70381="",618.01051="",3432.53808=""),"-",(3432.53808-618.01051)/255220.70381*100)</f>
        <v>1.1027818386141923</v>
      </c>
      <c r="G51" s="24">
        <f>IF(OR(316064.44449="",2867.36355="",3432.53808=""),"-",(2867.36355-3432.53808)/316064.44449*100)</f>
        <v>-0.17881623189598644</v>
      </c>
    </row>
    <row r="52" spans="1:7" s="16" customFormat="1" ht="15.75">
      <c r="A52" s="39" t="s">
        <v>135</v>
      </c>
      <c r="B52" s="24">
        <f>IF(2297.37412="","-",2297.37412)</f>
        <v>2297.37412</v>
      </c>
      <c r="C52" s="24" t="s">
        <v>201</v>
      </c>
      <c r="D52" s="24">
        <f>IF(1398.45073="","-",1398.45073/316064.44449*100)</f>
        <v>0.4424574653617027</v>
      </c>
      <c r="E52" s="24">
        <f>IF(2297.37412="","-",2297.37412/436254.68473*100)</f>
        <v>0.5266130543496296</v>
      </c>
      <c r="F52" s="24">
        <f>IF(OR(255220.70381="",1218.43299="",1398.45073=""),"-",(1398.45073-1218.43299)/255220.70381*100)</f>
        <v>0.07053414449245264</v>
      </c>
      <c r="G52" s="24">
        <f>IF(OR(316064.44449="",2297.37412="",1398.45073=""),"-",(2297.37412-1398.45073)/316064.44449*100)</f>
        <v>0.284411424844227</v>
      </c>
    </row>
    <row r="53" spans="1:7" s="16" customFormat="1" ht="15.75">
      <c r="A53" s="39" t="s">
        <v>133</v>
      </c>
      <c r="B53" s="24">
        <f>IF(2097.80026="","-",2097.80026)</f>
        <v>2097.80026</v>
      </c>
      <c r="C53" s="24">
        <f>IF(OR(1945.65746="",2097.80026=""),"-",2097.80026/1945.65746*100)</f>
        <v>107.81960869926199</v>
      </c>
      <c r="D53" s="24">
        <f>IF(1945.65746="","-",1945.65746/316064.44449*100)</f>
        <v>0.6155888439585487</v>
      </c>
      <c r="E53" s="24">
        <f>IF(2097.80026="","-",2097.80026/436254.68473*100)</f>
        <v>0.4808659559262586</v>
      </c>
      <c r="F53" s="24">
        <f>IF(OR(255220.70381="",11310.62143="",1945.65746=""),"-",(1945.65746-11310.62143)/255220.70381*100)</f>
        <v>-3.6693590410955768</v>
      </c>
      <c r="G53" s="24">
        <f>IF(OR(316064.44449="",2097.80026="",1945.65746=""),"-",(2097.80026-1945.65746)/316064.44449*100)</f>
        <v>0.048136638793869056</v>
      </c>
    </row>
    <row r="54" spans="1:7" s="28" customFormat="1" ht="15.75">
      <c r="A54" s="39" t="s">
        <v>142</v>
      </c>
      <c r="B54" s="24">
        <f>IF(1394.38331="","-",1394.38331)</f>
        <v>1394.38331</v>
      </c>
      <c r="C54" s="24" t="s">
        <v>232</v>
      </c>
      <c r="D54" s="24">
        <f>IF(432.20487="","-",432.20487/316064.44449*100)</f>
        <v>0.13674580533644132</v>
      </c>
      <c r="E54" s="24">
        <f>IF(1394.38331="","-",1394.38331/436254.68473*100)</f>
        <v>0.319625979687299</v>
      </c>
      <c r="F54" s="24">
        <f>IF(OR(255220.70381="",1492.90152="",432.20487=""),"-",(432.20487-1492.90152)/255220.70381*100)</f>
        <v>-0.4155997668549803</v>
      </c>
      <c r="G54" s="24">
        <f>IF(OR(316064.44449="",1394.38331="",432.20487=""),"-",(1394.38331-432.20487)/316064.44449*100)</f>
        <v>0.30442476424469894</v>
      </c>
    </row>
    <row r="55" spans="1:7" s="16" customFormat="1" ht="15.75">
      <c r="A55" s="39" t="s">
        <v>137</v>
      </c>
      <c r="B55" s="24">
        <f>IF(1108.46532="","-",1108.46532)</f>
        <v>1108.46532</v>
      </c>
      <c r="C55" s="24">
        <f>IF(OR(1056.00631="",1108.46532=""),"-",1108.46532/1056.00631*100)</f>
        <v>104.96767959653575</v>
      </c>
      <c r="D55" s="24">
        <f>IF(1056.00631="","-",1056.00631/316064.44449*100)</f>
        <v>0.3341110739944084</v>
      </c>
      <c r="E55" s="24">
        <f>IF(1108.46532="","-",1108.46532/436254.68473*100)</f>
        <v>0.2540867430881652</v>
      </c>
      <c r="F55" s="24">
        <f>IF(OR(255220.70381="",178.79276="",1056.00631=""),"-",(1056.00631-178.79276)/255220.70381*100)</f>
        <v>0.3437078328304607</v>
      </c>
      <c r="G55" s="24">
        <f>IF(OR(316064.44449="",1108.46532="",1056.00631=""),"-",(1108.46532-1056.00631)/316064.44449*100)</f>
        <v>0.016597567652586683</v>
      </c>
    </row>
    <row r="56" spans="1:7" s="26" customFormat="1" ht="15.75">
      <c r="A56" s="39" t="s">
        <v>143</v>
      </c>
      <c r="B56" s="24">
        <f>IF(1069.07675="","-",1069.07675)</f>
        <v>1069.07675</v>
      </c>
      <c r="C56" s="24">
        <f>IF(OR(1070.50986="",1069.07675=""),"-",1069.07675/1070.50986*100)</f>
        <v>99.86612827648314</v>
      </c>
      <c r="D56" s="24">
        <f>IF(1070.50986="","-",1070.50986/316064.44449*100)</f>
        <v>0.3386998691761641</v>
      </c>
      <c r="E56" s="24">
        <f>IF(1069.07675="","-",1069.07675/436254.68473*100)</f>
        <v>0.24505794147784485</v>
      </c>
      <c r="F56" s="24">
        <f>IF(OR(255220.70381="",270.67381="",1070.50986=""),"-",(1070.50986-270.67381)/255220.70381*100)</f>
        <v>0.31338995546201487</v>
      </c>
      <c r="G56" s="24">
        <f>IF(OR(316064.44449="",1069.07675="",1070.50986=""),"-",(1069.07675-1070.50986)/316064.44449*100)</f>
        <v>-0.00045342335241548644</v>
      </c>
    </row>
    <row r="57" spans="1:7" s="16" customFormat="1" ht="15.75">
      <c r="A57" s="39" t="s">
        <v>112</v>
      </c>
      <c r="B57" s="24">
        <f>IF(982.89577="","-",982.89577)</f>
        <v>982.89577</v>
      </c>
      <c r="C57" s="24" t="s">
        <v>212</v>
      </c>
      <c r="D57" s="24">
        <f>IF(419.94741="","-",419.94741/316064.44449*100)</f>
        <v>0.13286765320206295</v>
      </c>
      <c r="E57" s="24">
        <f>IF(982.89577="","-",982.89577/436254.68473*100)</f>
        <v>0.22530320118128214</v>
      </c>
      <c r="F57" s="24">
        <f>IF(OR(255220.70381="",130.58229="",419.94741=""),"-",(419.94741-130.58229)/255220.70381*100)</f>
        <v>0.11337838806973077</v>
      </c>
      <c r="G57" s="24">
        <f>IF(OR(316064.44449="",982.89577="",419.94741=""),"-",(982.89577-419.94741)/316064.44449*100)</f>
        <v>0.17811189136075414</v>
      </c>
    </row>
    <row r="58" spans="1:7" s="26" customFormat="1" ht="15.75">
      <c r="A58" s="39" t="s">
        <v>145</v>
      </c>
      <c r="B58" s="24">
        <f>IF(516.00345="","-",516.00345)</f>
        <v>516.00345</v>
      </c>
      <c r="C58" s="24">
        <f>IF(OR(857.82052="",516.00345=""),"-",516.00345/857.82052*100)</f>
        <v>60.15284525951886</v>
      </c>
      <c r="D58" s="24">
        <f>IF(857.82052="","-",857.82052/316064.44449*100)</f>
        <v>0.27140683963492784</v>
      </c>
      <c r="E58" s="24">
        <f>IF(516.00345="","-",516.00345/436254.68473*100)</f>
        <v>0.11828032295386282</v>
      </c>
      <c r="F58" s="24">
        <f>IF(OR(255220.70381="",110.92691="",857.82052=""),"-",(857.82052-110.92691)/255220.70381*100)</f>
        <v>0.2926461681400376</v>
      </c>
      <c r="G58" s="24">
        <f>IF(OR(316064.44449="",516.00345="",857.82052=""),"-",(516.00345-857.82052)/316064.44449*100)</f>
        <v>-0.10814790336557921</v>
      </c>
    </row>
    <row r="59" spans="1:7" s="16" customFormat="1" ht="15.75">
      <c r="A59" s="39" t="s">
        <v>210</v>
      </c>
      <c r="B59" s="24">
        <f>IF(421.13265="","-",421.13265)</f>
        <v>421.13265</v>
      </c>
      <c r="C59" s="24" t="str">
        <f>IF(OR(""="",421.13265=""),"-",421.13265/""*100)</f>
        <v>-</v>
      </c>
      <c r="D59" s="24" t="str">
        <f>IF(""="","-",""/316064.44449*100)</f>
        <v>-</v>
      </c>
      <c r="E59" s="24">
        <f>IF(421.13265="","-",421.13265/436254.68473*100)</f>
        <v>0.09653366823112534</v>
      </c>
      <c r="F59" s="24" t="str">
        <f>IF(OR(255220.70381="",""="",""=""),"-",(""-"")/255220.70381*100)</f>
        <v>-</v>
      </c>
      <c r="G59" s="24" t="str">
        <f>IF(OR(316064.44449="",421.13265="",""=""),"-",(421.13265-"")/316064.44449*100)</f>
        <v>-</v>
      </c>
    </row>
    <row r="60" spans="1:7" s="26" customFormat="1" ht="15.75">
      <c r="A60" s="39" t="s">
        <v>138</v>
      </c>
      <c r="B60" s="24">
        <f>IF(371.56042="","-",371.56042)</f>
        <v>371.56042</v>
      </c>
      <c r="C60" s="24">
        <f>IF(OR(543.8774="",371.56042=""),"-",371.56042/543.8774*100)</f>
        <v>68.31694422309145</v>
      </c>
      <c r="D60" s="24">
        <f>IF(543.8774="","-",543.8774/316064.44449*100)</f>
        <v>0.17207800797637893</v>
      </c>
      <c r="E60" s="24">
        <f>IF(371.56042="","-",371.56042/436254.68473*100)</f>
        <v>0.08517052836463188</v>
      </c>
      <c r="F60" s="24">
        <f>IF(OR(255220.70381="",355.57913="",543.8774=""),"-",(543.8774-355.57913)/255220.70381*100)</f>
        <v>0.07377860306355838</v>
      </c>
      <c r="G60" s="24">
        <f>IF(OR(316064.44449="",371.56042="",543.8774=""),"-",(371.56042-543.8774)/316064.44449*100)</f>
        <v>-0.054519571246949255</v>
      </c>
    </row>
    <row r="61" spans="1:7" s="16" customFormat="1" ht="15.75">
      <c r="A61" s="39" t="s">
        <v>141</v>
      </c>
      <c r="B61" s="24">
        <f>IF(361.93525="","-",361.93525)</f>
        <v>361.93525</v>
      </c>
      <c r="C61" s="24">
        <f>IF(OR(396.49482="",361.93525=""),"-",361.93525/396.49482*100)</f>
        <v>91.28372723759671</v>
      </c>
      <c r="D61" s="24">
        <f>IF(396.49482="","-",396.49482/316064.44449*100)</f>
        <v>0.12544746076699073</v>
      </c>
      <c r="E61" s="24">
        <f>IF(361.93525="","-",361.93525/436254.68473*100)</f>
        <v>0.08296420936407901</v>
      </c>
      <c r="F61" s="24">
        <f>IF(OR(255220.70381="",452.41043="",396.49482=""),"-",(396.49482-452.41043)/255220.70381*100)</f>
        <v>-0.021908728079375016</v>
      </c>
      <c r="G61" s="24">
        <f>IF(OR(316064.44449="",361.93525="",396.49482=""),"-",(361.93525-396.49482)/316064.44449*100)</f>
        <v>-0.010934342853959785</v>
      </c>
    </row>
    <row r="62" spans="1:7" s="16" customFormat="1" ht="15.75">
      <c r="A62" s="39" t="s">
        <v>193</v>
      </c>
      <c r="B62" s="24">
        <f>IF(322.20038="","-",322.20038)</f>
        <v>322.20038</v>
      </c>
      <c r="C62" s="24" t="s">
        <v>175</v>
      </c>
      <c r="D62" s="24">
        <f>IF(151.75757="","-",151.75757/316064.44449*100)</f>
        <v>0.0480147554227035</v>
      </c>
      <c r="E62" s="24">
        <f>IF(322.20038="","-",322.20038/436254.68473*100)</f>
        <v>0.07385602751736896</v>
      </c>
      <c r="F62" s="24">
        <f>IF(OR(255220.70381="",105.57422="",151.75757=""),"-",(151.75757-105.57422)/255220.70381*100)</f>
        <v>0.01809545593698439</v>
      </c>
      <c r="G62" s="24">
        <f>IF(OR(316064.44449="",322.20038="",151.75757=""),"-",(322.20038-151.75757)/316064.44449*100)</f>
        <v>0.053926600404238974</v>
      </c>
    </row>
    <row r="63" spans="1:7" s="26" customFormat="1" ht="15.75">
      <c r="A63" s="39" t="s">
        <v>161</v>
      </c>
      <c r="B63" s="24">
        <f>IF(307.14211="","-",307.14211)</f>
        <v>307.14211</v>
      </c>
      <c r="C63" s="24" t="s">
        <v>218</v>
      </c>
      <c r="D63" s="24">
        <f>IF(67.82829="","-",67.82829/316064.44449*100)</f>
        <v>0.021460272163623905</v>
      </c>
      <c r="E63" s="24">
        <f>IF(307.14211="","-",307.14211/436254.68473*100)</f>
        <v>0.07040431214855415</v>
      </c>
      <c r="F63" s="24">
        <f>IF(OR(255220.70381="",85.31325="",67.82829=""),"-",(67.82829-85.31325)/255220.70381*100)</f>
        <v>-0.006850917554485213</v>
      </c>
      <c r="G63" s="24">
        <f>IF(OR(316064.44449="",307.14211="",67.82829=""),"-",(307.14211-67.82829)/316064.44449*100)</f>
        <v>0.07571677997066566</v>
      </c>
    </row>
    <row r="64" spans="1:7" s="28" customFormat="1" ht="15.75">
      <c r="A64" s="39" t="s">
        <v>204</v>
      </c>
      <c r="B64" s="24">
        <f>IF(303.38991="","-",303.38991)</f>
        <v>303.38991</v>
      </c>
      <c r="C64" s="24" t="str">
        <f>IF(OR(""="",303.38991=""),"-",303.38991/""*100)</f>
        <v>-</v>
      </c>
      <c r="D64" s="24" t="str">
        <f>IF(""="","-",""/316064.44449*100)</f>
        <v>-</v>
      </c>
      <c r="E64" s="24">
        <f>IF(303.38991="","-",303.38991/436254.68473*100)</f>
        <v>0.06954421823292727</v>
      </c>
      <c r="F64" s="24" t="str">
        <f>IF(OR(255220.70381="",""="",""=""),"-",(""-"")/255220.70381*100)</f>
        <v>-</v>
      </c>
      <c r="G64" s="24" t="str">
        <f>IF(OR(316064.44449="",303.38991="",""=""),"-",(303.38991-"")/316064.44449*100)</f>
        <v>-</v>
      </c>
    </row>
    <row r="65" spans="1:7" s="16" customFormat="1" ht="15.75">
      <c r="A65" s="39" t="s">
        <v>140</v>
      </c>
      <c r="B65" s="24">
        <f>IF(285.99519="","-",285.99519)</f>
        <v>285.99519</v>
      </c>
      <c r="C65" s="24" t="s">
        <v>233</v>
      </c>
      <c r="D65" s="24">
        <f>IF(51.83895="","-",51.83895/316064.44449*100)</f>
        <v>0.01640138614251504</v>
      </c>
      <c r="E65" s="24">
        <f>IF(285.99519="","-",285.99519/436254.68473*100)</f>
        <v>0.06555693268417363</v>
      </c>
      <c r="F65" s="24">
        <f>IF(OR(255220.70381="",112.25227="",51.83895=""),"-",(51.83895-112.25227)/255220.70381*100)</f>
        <v>-0.023671010657887268</v>
      </c>
      <c r="G65" s="24">
        <f>IF(OR(316064.44449="",285.99519="",51.83895=""),"-",(285.99519-51.83895)/316064.44449*100)</f>
        <v>0.07408496719010368</v>
      </c>
    </row>
    <row r="66" spans="1:7" s="16" customFormat="1" ht="15.75">
      <c r="A66" s="39" t="s">
        <v>226</v>
      </c>
      <c r="B66" s="24">
        <f>IF(273.43215="","-",273.43215)</f>
        <v>273.43215</v>
      </c>
      <c r="C66" s="24" t="str">
        <f>IF(OR(""="",273.43215=""),"-",273.43215/""*100)</f>
        <v>-</v>
      </c>
      <c r="D66" s="24" t="str">
        <f>IF(""="","-",""/316064.44449*100)</f>
        <v>-</v>
      </c>
      <c r="E66" s="24">
        <f>IF(273.43215="","-",273.43215/436254.68473*100)</f>
        <v>0.062677183666057</v>
      </c>
      <c r="F66" s="24" t="str">
        <f>IF(OR(255220.70381="",""="",""=""),"-",(""-"")/255220.70381*100)</f>
        <v>-</v>
      </c>
      <c r="G66" s="24" t="str">
        <f>IF(OR(316064.44449="",273.43215="",""=""),"-",(273.43215-"")/316064.44449*100)</f>
        <v>-</v>
      </c>
    </row>
    <row r="67" spans="1:7" s="16" customFormat="1" ht="15.75">
      <c r="A67" s="39" t="s">
        <v>164</v>
      </c>
      <c r="B67" s="24">
        <f>IF(245.09572="","-",245.09572)</f>
        <v>245.09572</v>
      </c>
      <c r="C67" s="24" t="s">
        <v>211</v>
      </c>
      <c r="D67" s="24">
        <f>IF(84.35065="","-",84.35065/316064.44449*100)</f>
        <v>0.026687801007198954</v>
      </c>
      <c r="E67" s="24">
        <f>IF(245.09572="","-",245.09572/436254.68473*100)</f>
        <v>0.056181796684129794</v>
      </c>
      <c r="F67" s="24" t="str">
        <f>IF(OR(255220.70381="",""="",84.35065=""),"-",(84.35065-"")/255220.70381*100)</f>
        <v>-</v>
      </c>
      <c r="G67" s="24">
        <f>IF(OR(316064.44449="",245.09572="",84.35065=""),"-",(245.09572-84.35065)/316064.44449*100)</f>
        <v>0.05085832108049275</v>
      </c>
    </row>
    <row r="68" spans="1:7" s="16" customFormat="1" ht="15.75">
      <c r="A68" s="39" t="s">
        <v>147</v>
      </c>
      <c r="B68" s="24">
        <f>IF(210.92619="","-",210.92619)</f>
        <v>210.92619</v>
      </c>
      <c r="C68" s="24" t="s">
        <v>198</v>
      </c>
      <c r="D68" s="24">
        <f>IF(71.28018="","-",71.28018/316064.44449*100)</f>
        <v>0.02255241968612361</v>
      </c>
      <c r="E68" s="24">
        <f>IF(210.92619="","-",210.92619/436254.68473*100)</f>
        <v>0.04834932377414885</v>
      </c>
      <c r="F68" s="24">
        <f>IF(OR(255220.70381="",116.52312="",71.28018=""),"-",(71.28018-116.52312)/255220.70381*100)</f>
        <v>-0.01772698661378243</v>
      </c>
      <c r="G68" s="24">
        <f>IF(OR(316064.44449="",210.92619="",71.28018=""),"-",(210.92619-71.28018)/316064.44449*100)</f>
        <v>0.044182764760310855</v>
      </c>
    </row>
    <row r="69" spans="1:7" s="16" customFormat="1" ht="15.75">
      <c r="A69" s="39" t="s">
        <v>205</v>
      </c>
      <c r="B69" s="24">
        <f>IF(203.26985="","-",203.26985)</f>
        <v>203.26985</v>
      </c>
      <c r="C69" s="24" t="s">
        <v>234</v>
      </c>
      <c r="D69" s="24">
        <f>IF(0.46545="","-",0.46545/316064.44449*100)</f>
        <v>0.0001472642709783594</v>
      </c>
      <c r="E69" s="24">
        <f>IF(203.26985="","-",203.26985/436254.68473*100)</f>
        <v>0.046594307663608156</v>
      </c>
      <c r="F69" s="24" t="str">
        <f>IF(OR(255220.70381="",""="",0.46545=""),"-",(0.46545-"")/255220.70381*100)</f>
        <v>-</v>
      </c>
      <c r="G69" s="24">
        <f>IF(OR(316064.44449="",203.26985="",0.46545=""),"-",(203.26985-0.46545)/316064.44449*100)</f>
        <v>0.06416552179010332</v>
      </c>
    </row>
    <row r="70" spans="1:7" s="16" customFormat="1" ht="15.75">
      <c r="A70" s="39" t="s">
        <v>154</v>
      </c>
      <c r="B70" s="24">
        <f>IF(200.54705="","-",200.54705)</f>
        <v>200.54705</v>
      </c>
      <c r="C70" s="24" t="s">
        <v>198</v>
      </c>
      <c r="D70" s="24">
        <f>IF(67.93243="","-",67.93243/316064.44449*100)</f>
        <v>0.021493221140269483</v>
      </c>
      <c r="E70" s="24">
        <f>IF(200.54705="","-",200.54705/436254.68473*100)</f>
        <v>0.045970176830105444</v>
      </c>
      <c r="F70" s="24">
        <f>IF(OR(255220.70381="",33.74711="",67.93243=""),"-",(67.93243-33.74711)/255220.70381*100)</f>
        <v>0.013394414908223662</v>
      </c>
      <c r="G70" s="24">
        <f>IF(OR(316064.44449="",200.54705="",67.93243=""),"-",(200.54705-67.93243)/316064.44449*100)</f>
        <v>0.04195809503786048</v>
      </c>
    </row>
    <row r="71" spans="1:7" s="16" customFormat="1" ht="15.75">
      <c r="A71" s="39" t="s">
        <v>178</v>
      </c>
      <c r="B71" s="24">
        <f>IF(199.00663="","-",199.00663)</f>
        <v>199.00663</v>
      </c>
      <c r="C71" s="24" t="s">
        <v>235</v>
      </c>
      <c r="D71" s="24">
        <f>IF(54.56142="","-",54.56142/316064.44449*100)</f>
        <v>0.017262751616380016</v>
      </c>
      <c r="E71" s="24">
        <f>IF(199.00663="","-",199.00663/436254.68473*100)</f>
        <v>0.04561707575086927</v>
      </c>
      <c r="F71" s="24">
        <f>IF(OR(255220.70381="",21.9411="",54.56142=""),"-",(54.56142-21.9411)/255220.70381*100)</f>
        <v>0.01278122014124854</v>
      </c>
      <c r="G71" s="24">
        <f>IF(OR(316064.44449="",199.00663="",54.56142=""),"-",(199.00663-54.56142)/316064.44449*100)</f>
        <v>0.045701189272673824</v>
      </c>
    </row>
    <row r="72" spans="1:7" s="16" customFormat="1" ht="15.75">
      <c r="A72" s="39" t="s">
        <v>114</v>
      </c>
      <c r="B72" s="24">
        <f>IF(158.88765="","-",158.88765)</f>
        <v>158.88765</v>
      </c>
      <c r="C72" s="24" t="str">
        <f>IF(OR(""="",158.88765=""),"-",158.88765/""*100)</f>
        <v>-</v>
      </c>
      <c r="D72" s="24" t="str">
        <f>IF(""="","-",""/316064.44449*100)</f>
        <v>-</v>
      </c>
      <c r="E72" s="24">
        <f>IF(158.88765="","-",158.88765/436254.68473*100)</f>
        <v>0.03642084671213016</v>
      </c>
      <c r="F72" s="24" t="str">
        <f>IF(OR(255220.70381="",24.624="",""=""),"-",(""-24.624)/255220.70381*100)</f>
        <v>-</v>
      </c>
      <c r="G72" s="24" t="str">
        <f>IF(OR(316064.44449="",158.88765="",""=""),"-",(158.88765-"")/316064.44449*100)</f>
        <v>-</v>
      </c>
    </row>
    <row r="73" spans="1:7" s="16" customFormat="1" ht="15.75">
      <c r="A73" s="39" t="s">
        <v>153</v>
      </c>
      <c r="B73" s="24">
        <f>IF(134.00666="","-",134.00666)</f>
        <v>134.00666</v>
      </c>
      <c r="C73" s="24">
        <f>IF(OR(174.01047="",134.00666=""),"-",134.00666/174.01047*100)</f>
        <v>77.01068792010045</v>
      </c>
      <c r="D73" s="24">
        <f>IF(174.01047="","-",174.01047/316064.44449*100)</f>
        <v>0.0550553765327139</v>
      </c>
      <c r="E73" s="24">
        <f>IF(134.00666="","-",134.00666/436254.68473*100)</f>
        <v>0.03071752916142032</v>
      </c>
      <c r="F73" s="24">
        <f>IF(OR(255220.70381="",24.72813="",174.01047=""),"-",(174.01047-24.72813)/255220.70381*100)</f>
        <v>0.05849146945035219</v>
      </c>
      <c r="G73" s="24">
        <f>IF(OR(316064.44449="",134.00666="",174.01047=""),"-",(134.00666-174.01047)/316064.44449*100)</f>
        <v>-0.012656852327869379</v>
      </c>
    </row>
    <row r="74" spans="1:7" ht="15.75">
      <c r="A74" s="39" t="s">
        <v>155</v>
      </c>
      <c r="B74" s="24">
        <f>IF(117.56713="","-",117.56713)</f>
        <v>117.56713</v>
      </c>
      <c r="C74" s="24" t="s">
        <v>236</v>
      </c>
      <c r="D74" s="24">
        <f>IF(0.78381="","-",0.78381/316064.44449*100)</f>
        <v>0.00024799056447641615</v>
      </c>
      <c r="E74" s="24">
        <f>IF(117.56713="","-",117.56713/436254.68473*100)</f>
        <v>0.02694919598921049</v>
      </c>
      <c r="F74" s="24">
        <f>IF(OR(255220.70381="",9.61498="",0.78381=""),"-",(0.78381-9.61498)/255220.70381*100)</f>
        <v>-0.003460209092822813</v>
      </c>
      <c r="G74" s="24">
        <f>IF(OR(316064.44449="",117.56713="",0.78381=""),"-",(117.56713-0.78381)/316064.44449*100)</f>
        <v>0.036949211477564636</v>
      </c>
    </row>
    <row r="75" spans="1:7" ht="15.75">
      <c r="A75" s="39" t="s">
        <v>139</v>
      </c>
      <c r="B75" s="24">
        <f>IF(114.43239="","-",114.43239)</f>
        <v>114.43239</v>
      </c>
      <c r="C75" s="24" t="s">
        <v>229</v>
      </c>
      <c r="D75" s="24">
        <f>IF(25.13077="","-",25.13077/316064.44449*100)</f>
        <v>0.007951153771994467</v>
      </c>
      <c r="E75" s="24">
        <f>IF(114.43239="","-",114.43239/436254.68473*100)</f>
        <v>0.026230638662556195</v>
      </c>
      <c r="F75" s="24">
        <f>IF(OR(255220.70381="",1028.35924="",25.13077=""),"-",(25.13077-1028.35924)/255220.70381*100)</f>
        <v>-0.3930827143031692</v>
      </c>
      <c r="G75" s="24">
        <f>IF(OR(316064.44449="",114.43239="",25.13077=""),"-",(114.43239-25.13077)/316064.44449*100)</f>
        <v>0.02825424420772689</v>
      </c>
    </row>
    <row r="76" spans="1:7" ht="15.75">
      <c r="A76" s="39" t="s">
        <v>227</v>
      </c>
      <c r="B76" s="24">
        <f>IF(78.61415="","-",78.61415)</f>
        <v>78.61415</v>
      </c>
      <c r="C76" s="24" t="str">
        <f>IF(OR(""="",78.61415=""),"-",78.61415/""*100)</f>
        <v>-</v>
      </c>
      <c r="D76" s="24" t="str">
        <f>IF(""="","-",""/316064.44449*100)</f>
        <v>-</v>
      </c>
      <c r="E76" s="24">
        <f>IF(78.61415="","-",78.61415/436254.68473*100)</f>
        <v>0.018020242017264446</v>
      </c>
      <c r="F76" s="24" t="str">
        <f>IF(OR(255220.70381="",""="",""=""),"-",(""-"")/255220.70381*100)</f>
        <v>-</v>
      </c>
      <c r="G76" s="24" t="str">
        <f>IF(OR(316064.44449="",78.61415="",""=""),"-",(78.61415-"")/316064.44449*100)</f>
        <v>-</v>
      </c>
    </row>
    <row r="77" spans="1:7" ht="15.75">
      <c r="A77" s="39" t="s">
        <v>228</v>
      </c>
      <c r="B77" s="24">
        <f>IF(74.18292="","-",74.18292)</f>
        <v>74.18292</v>
      </c>
      <c r="C77" s="24" t="str">
        <f>IF(OR(""="",74.18292=""),"-",74.18292/""*100)</f>
        <v>-</v>
      </c>
      <c r="D77" s="24" t="str">
        <f>IF(""="","-",""/316064.44449*100)</f>
        <v>-</v>
      </c>
      <c r="E77" s="24">
        <f>IF(74.18292="","-",74.18292/436254.68473*100)</f>
        <v>0.017004498197174006</v>
      </c>
      <c r="F77" s="24" t="str">
        <f>IF(OR(255220.70381="",""="",""=""),"-",(""-"")/255220.70381*100)</f>
        <v>-</v>
      </c>
      <c r="G77" s="24" t="str">
        <f>IF(OR(316064.44449="",74.18292="",""=""),"-",(74.18292-"")/316064.44449*100)</f>
        <v>-</v>
      </c>
    </row>
    <row r="78" spans="1:7" ht="15.75">
      <c r="A78" s="39" t="s">
        <v>173</v>
      </c>
      <c r="B78" s="24">
        <f>IF(73.08415="","-",73.08415)</f>
        <v>73.08415</v>
      </c>
      <c r="C78" s="24">
        <f>IF(OR(86.95309="",73.08415=""),"-",73.08415/86.95309*100)</f>
        <v>84.05008953678356</v>
      </c>
      <c r="D78" s="24">
        <f>IF(86.95309="","-",86.95309/316064.44449*100)</f>
        <v>0.02751119004869626</v>
      </c>
      <c r="E78" s="24">
        <f>IF(73.08415="","-",73.08415/436254.68473*100)</f>
        <v>0.016752633853142945</v>
      </c>
      <c r="F78" s="24">
        <f>IF(OR(255220.70381="",27.15895="",86.95309=""),"-",(86.95309-27.15895)/255220.70381*100)</f>
        <v>0.023428404948100903</v>
      </c>
      <c r="G78" s="24">
        <f>IF(OR(316064.44449="",73.08415="",86.95309=""),"-",(73.08415-86.95309)/316064.44449*100)</f>
        <v>-0.004388010180132365</v>
      </c>
    </row>
    <row r="79" spans="1:7" ht="15.75">
      <c r="A79" s="39" t="s">
        <v>150</v>
      </c>
      <c r="B79" s="24">
        <f>IF(71.04334="","-",71.04334)</f>
        <v>71.04334</v>
      </c>
      <c r="C79" s="24" t="str">
        <f>IF(OR(""="",71.04334=""),"-",71.04334/""*100)</f>
        <v>-</v>
      </c>
      <c r="D79" s="24" t="str">
        <f>IF(""="","-",""/316064.44449*100)</f>
        <v>-</v>
      </c>
      <c r="E79" s="24">
        <f>IF(71.04334="","-",71.04334/436254.68473*100)</f>
        <v>0.016284831426846235</v>
      </c>
      <c r="F79" s="24" t="str">
        <f>IF(OR(255220.70381="",392.98084="",""=""),"-",(""-392.98084)/255220.70381*100)</f>
        <v>-</v>
      </c>
      <c r="G79" s="24" t="str">
        <f>IF(OR(316064.44449="",71.04334="",""=""),"-",(71.04334-"")/316064.44449*100)</f>
        <v>-</v>
      </c>
    </row>
    <row r="80" spans="1:7" ht="15.75">
      <c r="A80" s="39" t="s">
        <v>208</v>
      </c>
      <c r="B80" s="24">
        <f>IF(69.77432="","-",69.77432)</f>
        <v>69.77432</v>
      </c>
      <c r="C80" s="24" t="str">
        <f>IF(OR(""="",69.77432=""),"-",69.77432/""*100)</f>
        <v>-</v>
      </c>
      <c r="D80" s="24" t="str">
        <f>IF(""="","-",""/316064.44449*100)</f>
        <v>-</v>
      </c>
      <c r="E80" s="24">
        <f>IF(69.77432="","-",69.77432/436254.68473*100)</f>
        <v>0.01599394171392879</v>
      </c>
      <c r="F80" s="24" t="str">
        <f>IF(OR(255220.70381="",""="",""=""),"-",(""-"")/255220.70381*100)</f>
        <v>-</v>
      </c>
      <c r="G80" s="24" t="str">
        <f>IF(OR(316064.44449="",69.77432="",""=""),"-",(69.77432-"")/316064.44449*100)</f>
        <v>-</v>
      </c>
    </row>
    <row r="81" spans="1:7" ht="15.75">
      <c r="A81" s="39" t="s">
        <v>206</v>
      </c>
      <c r="B81" s="24">
        <f>IF(61.43709="","-",61.43709)</f>
        <v>61.43709</v>
      </c>
      <c r="C81" s="24" t="s">
        <v>25</v>
      </c>
      <c r="D81" s="24">
        <f>IF(30.51379="","-",30.51379/316064.44449*100)</f>
        <v>0.009654293778358048</v>
      </c>
      <c r="E81" s="24">
        <f>IF(61.43709="","-",61.43709/436254.68473*100)</f>
        <v>0.01408284934247152</v>
      </c>
      <c r="F81" s="24">
        <f>IF(OR(255220.70381="",5.89419="",30.51379=""),"-",(30.51379-5.89419)/255220.70381*100)</f>
        <v>0.009646396092665018</v>
      </c>
      <c r="G81" s="24">
        <f>IF(OR(316064.44449="",61.43709="",30.51379=""),"-",(61.43709-30.51379)/316064.44449*100)</f>
        <v>0.009783859127178217</v>
      </c>
    </row>
    <row r="82" spans="1:7" ht="15.75">
      <c r="A82" s="39" t="s">
        <v>149</v>
      </c>
      <c r="B82" s="24">
        <f>IF(57.744="","-",57.744)</f>
        <v>57.744</v>
      </c>
      <c r="C82" s="24">
        <f>IF(OR(142.992="",57.744=""),"-",57.744/142.992*100)</f>
        <v>40.382678751258815</v>
      </c>
      <c r="D82" s="24">
        <f>IF(142.992="","-",142.992/316064.44449*100)</f>
        <v>0.04524140645770237</v>
      </c>
      <c r="E82" s="24">
        <f>IF(57.744="","-",57.744/436254.68473*100)</f>
        <v>0.013236304851542861</v>
      </c>
      <c r="F82" s="24">
        <f>IF(OR(255220.70381="",109.39152="",142.992=""),"-",(142.992-109.39152)/255220.70381*100)</f>
        <v>0.013165264219713927</v>
      </c>
      <c r="G82" s="24">
        <f>IF(OR(316064.44449="",57.744="",142.992=""),"-",(57.744-142.992)/316064.44449*100)</f>
        <v>-0.02697171462533716</v>
      </c>
    </row>
    <row r="83" spans="1:7" ht="15.75">
      <c r="A83" s="39" t="s">
        <v>156</v>
      </c>
      <c r="B83" s="24">
        <f>IF(55.37915="","-",55.37915)</f>
        <v>55.37915</v>
      </c>
      <c r="C83" s="24">
        <f>IF(OR(65.56586="",55.37915=""),"-",55.37915/65.56586*100)</f>
        <v>84.46339299141353</v>
      </c>
      <c r="D83" s="24">
        <f>IF(65.56586="","-",65.56586/316064.44449*100)</f>
        <v>0.020744459284497103</v>
      </c>
      <c r="E83" s="24">
        <f>IF(55.37915="","-",55.37915/436254.68473*100)</f>
        <v>0.012694224712858825</v>
      </c>
      <c r="F83" s="24">
        <f>IF(OR(255220.70381="",60.33721="",65.56586=""),"-",(65.56586-60.33721)/255220.70381*100)</f>
        <v>0.0020486778391977517</v>
      </c>
      <c r="G83" s="24">
        <f>IF(OR(316064.44449="",55.37915="",65.56586=""),"-",(55.37915-65.56586)/316064.44449*100)</f>
        <v>-0.003222985115088545</v>
      </c>
    </row>
    <row r="84" spans="1:7" ht="15.75">
      <c r="A84" s="39" t="s">
        <v>191</v>
      </c>
      <c r="B84" s="24">
        <f>IF(52.32657="","-",52.32657)</f>
        <v>52.32657</v>
      </c>
      <c r="C84" s="24" t="str">
        <f>IF(OR(""="",52.32657=""),"-",52.32657/""*100)</f>
        <v>-</v>
      </c>
      <c r="D84" s="24" t="str">
        <f>IF(""="","-",""/316064.44449*100)</f>
        <v>-</v>
      </c>
      <c r="E84" s="24">
        <f>IF(52.32657="","-",52.32657/436254.68473*100)</f>
        <v>0.011994500421785763</v>
      </c>
      <c r="F84" s="24" t="str">
        <f>IF(OR(255220.70381="",121.53951="",""=""),"-",(""-121.53951)/255220.70381*100)</f>
        <v>-</v>
      </c>
      <c r="G84" s="24" t="str">
        <f>IF(OR(316064.44449="",52.32657="",""=""),"-",(52.32657-"")/316064.44449*100)</f>
        <v>-</v>
      </c>
    </row>
    <row r="85" spans="1:7" ht="15.75">
      <c r="A85" s="63" t="s">
        <v>26</v>
      </c>
      <c r="B85" s="63"/>
      <c r="C85" s="63"/>
      <c r="D85" s="63"/>
      <c r="E85" s="63"/>
      <c r="F85" s="63"/>
      <c r="G85" s="63"/>
    </row>
  </sheetData>
  <sheetProtection/>
  <mergeCells count="10">
    <mergeCell ref="A85:G85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2"/>
  <sheetViews>
    <sheetView zoomScalePageLayoutView="0" workbookViewId="0" topLeftCell="A1">
      <selection activeCell="K7" sqref="K7"/>
    </sheetView>
  </sheetViews>
  <sheetFormatPr defaultColWidth="9.00390625" defaultRowHeight="15.75"/>
  <cols>
    <col min="1" max="1" width="34.375" style="0" customWidth="1"/>
    <col min="2" max="2" width="10.75390625" style="0" customWidth="1"/>
    <col min="3" max="3" width="9.7539062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77" t="s">
        <v>268</v>
      </c>
      <c r="B1" s="77"/>
      <c r="C1" s="77"/>
      <c r="D1" s="77"/>
      <c r="E1" s="77"/>
      <c r="F1" s="77"/>
      <c r="G1" s="77"/>
    </row>
    <row r="2" ht="15.75">
      <c r="A2" s="2"/>
    </row>
    <row r="3" spans="1:7" ht="55.5" customHeight="1">
      <c r="A3" s="65"/>
      <c r="B3" s="68" t="s">
        <v>219</v>
      </c>
      <c r="C3" s="69"/>
      <c r="D3" s="68" t="s">
        <v>209</v>
      </c>
      <c r="E3" s="69"/>
      <c r="F3" s="70" t="s">
        <v>278</v>
      </c>
      <c r="G3" s="71"/>
    </row>
    <row r="4" spans="1:7" ht="27" customHeight="1">
      <c r="A4" s="66"/>
      <c r="B4" s="72" t="s">
        <v>183</v>
      </c>
      <c r="C4" s="74" t="s">
        <v>220</v>
      </c>
      <c r="D4" s="76" t="s">
        <v>222</v>
      </c>
      <c r="E4" s="76"/>
      <c r="F4" s="76" t="s">
        <v>222</v>
      </c>
      <c r="G4" s="68"/>
    </row>
    <row r="5" spans="1:7" ht="31.5" customHeight="1">
      <c r="A5" s="67"/>
      <c r="B5" s="73"/>
      <c r="C5" s="75"/>
      <c r="D5" s="48">
        <v>2017</v>
      </c>
      <c r="E5" s="48">
        <v>2018</v>
      </c>
      <c r="F5" s="48" t="s">
        <v>177</v>
      </c>
      <c r="G5" s="44" t="s">
        <v>221</v>
      </c>
    </row>
    <row r="6" spans="1:7" s="3" customFormat="1" ht="15">
      <c r="A6" s="7" t="s">
        <v>27</v>
      </c>
      <c r="B6" s="43">
        <f>IF(801882.3303="","-",801882.3303)</f>
        <v>801882.3303</v>
      </c>
      <c r="C6" s="43">
        <f>IF(599501.49446="","-",801882.3303/599501.49446*100)</f>
        <v>133.75818704543752</v>
      </c>
      <c r="D6" s="43">
        <v>100</v>
      </c>
      <c r="E6" s="43">
        <v>100</v>
      </c>
      <c r="F6" s="43">
        <f>IF(494274.03793="","-",(599501.49446-494274.03793)/494274.03793*100)</f>
        <v>21.289294693827816</v>
      </c>
      <c r="G6" s="43">
        <f>IF(599501.49446="","-",(801882.3303-599501.49446)/599501.49446*100)</f>
        <v>33.75818704543752</v>
      </c>
    </row>
    <row r="7" spans="1:7" ht="12.75" customHeight="1">
      <c r="A7" s="8" t="s">
        <v>2</v>
      </c>
      <c r="B7" s="38"/>
      <c r="C7" s="34"/>
      <c r="D7" s="35"/>
      <c r="E7" s="35"/>
      <c r="F7" s="36"/>
      <c r="G7" s="36"/>
    </row>
    <row r="8" spans="1:7" ht="15.75">
      <c r="A8" s="9" t="s">
        <v>3</v>
      </c>
      <c r="B8" s="23">
        <f>IF(387539.84363="","-",387539.84363)</f>
        <v>387539.84363</v>
      </c>
      <c r="C8" s="23">
        <f>IF(273402.7844="","-",387539.84363/273402.7844*100)</f>
        <v>141.74685326650243</v>
      </c>
      <c r="D8" s="23">
        <f>IF(273402.7844="","-",273402.7844/599501.49446*100)</f>
        <v>45.60502132630497</v>
      </c>
      <c r="E8" s="23">
        <f>IF(387539.84363="","-",387539.84363/801882.3303*100)</f>
        <v>48.328767075465265</v>
      </c>
      <c r="F8" s="23">
        <f>IF(494274.03793="","-",(273402.7844-217382.24985)/494274.03793*100)</f>
        <v>11.333901894708404</v>
      </c>
      <c r="G8" s="23">
        <f>IF(599501.49446="","-",(387539.84363-273402.7844)/599501.49446*100)</f>
        <v>19.038661335249678</v>
      </c>
    </row>
    <row r="9" spans="1:7" s="16" customFormat="1" ht="15.75">
      <c r="A9" s="39" t="s">
        <v>4</v>
      </c>
      <c r="B9" s="24">
        <f>IF(109634.2867="","-",109634.2867)</f>
        <v>109634.2867</v>
      </c>
      <c r="C9" s="24">
        <f>IF(OR(85046.81242="",109634.2867=""),"-",109634.2867/85046.81242*100)</f>
        <v>128.910518313815</v>
      </c>
      <c r="D9" s="24">
        <f>IF(85046.81242="","-",85046.81242/599501.49446*100)</f>
        <v>14.186255281416068</v>
      </c>
      <c r="E9" s="24">
        <f>IF(109634.2867="","-",109634.2867/801882.3303*100)</f>
        <v>13.672116538468138</v>
      </c>
      <c r="F9" s="24">
        <f>IF(OR(494274.03793="",53249.3418="",85046.81242=""),"-",(85046.81242-53249.3418)/494274.03793*100)</f>
        <v>6.433166255943068</v>
      </c>
      <c r="G9" s="24">
        <f>IF(OR(599501.49446="",109634.2867="",85046.81242=""),"-",(109634.2867-85046.81242)/599501.49446*100)</f>
        <v>4.101319931178341</v>
      </c>
    </row>
    <row r="10" spans="1:7" s="16" customFormat="1" ht="15.75">
      <c r="A10" s="39" t="s">
        <v>6</v>
      </c>
      <c r="B10" s="24">
        <f>IF(64542.78184="","-",64542.78184)</f>
        <v>64542.78184</v>
      </c>
      <c r="C10" s="24">
        <f>IF(OR(42973.18858="",64542.78184=""),"-",64542.78184/42973.18858*100)</f>
        <v>150.19314128819065</v>
      </c>
      <c r="D10" s="24">
        <f>IF(42973.18858="","-",42973.18858/599501.49446*100)</f>
        <v>7.168153703888268</v>
      </c>
      <c r="E10" s="24">
        <f>IF(64542.78184="","-",64542.78184/801882.3303*100)</f>
        <v>8.048909347566404</v>
      </c>
      <c r="F10" s="24">
        <f>IF(OR(494274.03793="",35324.76145="",42973.18858=""),"-",(42973.18858-35324.76145)/494274.03793*100)</f>
        <v>1.5474062044673258</v>
      </c>
      <c r="G10" s="24">
        <f>IF(OR(599501.49446="",64542.78184="",42973.18858=""),"-",(64542.78184-42973.18858)/599501.49446*100)</f>
        <v>3.5979215163473075</v>
      </c>
    </row>
    <row r="11" spans="1:7" s="16" customFormat="1" ht="15.75">
      <c r="A11" s="39" t="s">
        <v>5</v>
      </c>
      <c r="B11" s="24">
        <f>IF(52443.93109="","-",52443.93109)</f>
        <v>52443.93109</v>
      </c>
      <c r="C11" s="24">
        <f>IF(OR(36257.20791="",52443.93109=""),"-",52443.93109/36257.20791*100)</f>
        <v>144.64415246805473</v>
      </c>
      <c r="D11" s="24">
        <f>IF(36257.20791="","-",36257.20791/599501.49446*100)</f>
        <v>6.0478928318033</v>
      </c>
      <c r="E11" s="24">
        <f>IF(52443.93109="","-",52443.93109/801882.3303*100)</f>
        <v>6.540103093477528</v>
      </c>
      <c r="F11" s="24">
        <f>IF(OR(494274.03793="",31651.3669="",36257.20791=""),"-",(36257.20791-31651.3669)/494274.03793*100)</f>
        <v>0.9318395579280424</v>
      </c>
      <c r="G11" s="24">
        <f>IF(OR(599501.49446="",52443.93109="",36257.20791=""),"-",(52443.93109-36257.20791)/599501.49446*100)</f>
        <v>2.7000304969348186</v>
      </c>
    </row>
    <row r="12" spans="1:7" s="16" customFormat="1" ht="15.75">
      <c r="A12" s="39" t="s">
        <v>7</v>
      </c>
      <c r="B12" s="24">
        <f>IF(28099.63449="","-",28099.63449)</f>
        <v>28099.63449</v>
      </c>
      <c r="C12" s="24" t="s">
        <v>200</v>
      </c>
      <c r="D12" s="24">
        <f>IF(16461.89803="","-",16461.89803/599501.49446*100)</f>
        <v>2.7459311081164244</v>
      </c>
      <c r="E12" s="24">
        <f>IF(28099.63449="","-",28099.63449/801882.3303*100)</f>
        <v>3.5042092122777384</v>
      </c>
      <c r="F12" s="24">
        <f>IF(OR(494274.03793="",15621.08501="",16461.89803=""),"-",(16461.89803-15621.08501)/494274.03793*100)</f>
        <v>0.17011069881826912</v>
      </c>
      <c r="G12" s="24">
        <f>IF(OR(599501.49446="",28099.63449="",16461.89803=""),"-",(28099.63449-16461.89803)/599501.49446*100)</f>
        <v>1.9412356045054855</v>
      </c>
    </row>
    <row r="13" spans="1:7" s="16" customFormat="1" ht="15.75">
      <c r="A13" s="39" t="s">
        <v>188</v>
      </c>
      <c r="B13" s="24">
        <f>IF(21625.66642="","-",21625.66642)</f>
        <v>21625.66642</v>
      </c>
      <c r="C13" s="24" t="s">
        <v>201</v>
      </c>
      <c r="D13" s="24">
        <f>IF(13512.17264="","-",13512.17264/599501.49446*100)</f>
        <v>2.253901410566302</v>
      </c>
      <c r="E13" s="24">
        <f>IF(21625.66642="","-",21625.66642/801882.3303*100)</f>
        <v>2.6968628192504767</v>
      </c>
      <c r="F13" s="24">
        <f>IF(OR(494274.03793="",9067.45457="",13512.17264=""),"-",(13512.17264-9067.45457)/494274.03793*100)</f>
        <v>0.8992416612886048</v>
      </c>
      <c r="G13" s="24">
        <f>IF(OR(599501.49446="",21625.66642="",13512.17264=""),"-",(21625.66642-13512.17264)/599501.49446*100)</f>
        <v>1.3533734035656104</v>
      </c>
    </row>
    <row r="14" spans="1:7" s="16" customFormat="1" ht="15.75">
      <c r="A14" s="39" t="s">
        <v>118</v>
      </c>
      <c r="B14" s="24">
        <f>IF(17901.4335="","-",17901.4335)</f>
        <v>17901.4335</v>
      </c>
      <c r="C14" s="24">
        <f>IF(OR(12488.69121="",17901.4335=""),"-",17901.4335/12488.69121*100)</f>
        <v>143.34114919636963</v>
      </c>
      <c r="D14" s="24">
        <f>IF(12488.69121="","-",12488.69121/599501.49446*100)</f>
        <v>2.083179329060584</v>
      </c>
      <c r="E14" s="24">
        <f>IF(17901.4335="","-",17901.4335/801882.3303*100)</f>
        <v>2.232426482486866</v>
      </c>
      <c r="F14" s="24">
        <f>IF(OR(494274.03793="",8292.41083="",12488.69121=""),"-",(12488.69121-8292.41083)/494274.03793*100)</f>
        <v>0.8489785135334753</v>
      </c>
      <c r="G14" s="24">
        <f>IF(OR(599501.49446="",17901.4335="",12488.69121=""),"-",(17901.4335-12488.69121)/599501.49446*100)</f>
        <v>0.9028738610360793</v>
      </c>
    </row>
    <row r="15" spans="1:7" s="16" customFormat="1" ht="15.75">
      <c r="A15" s="39" t="s">
        <v>10</v>
      </c>
      <c r="B15" s="24">
        <f>IF(14689.80657="","-",14689.80657)</f>
        <v>14689.80657</v>
      </c>
      <c r="C15" s="24" t="s">
        <v>199</v>
      </c>
      <c r="D15" s="24">
        <f>IF(8044.1312="","-",8044.1312/599501.49446*100)</f>
        <v>1.3418033606814839</v>
      </c>
      <c r="E15" s="24">
        <f>IF(14689.80657="","-",14689.80657/801882.3303*100)</f>
        <v>1.8319154837224376</v>
      </c>
      <c r="F15" s="24">
        <f>IF(OR(494274.03793="",10641.9946="",8044.1312=""),"-",(8044.1312-10641.9946)/494274.03793*100)</f>
        <v>-0.5255917164655762</v>
      </c>
      <c r="G15" s="24">
        <f>IF(OR(599501.49446="",14689.80657="",8044.1312=""),"-",(14689.80657-8044.1312)/599501.49446*100)</f>
        <v>1.1085335785503059</v>
      </c>
    </row>
    <row r="16" spans="1:7" s="16" customFormat="1" ht="15.75">
      <c r="A16" s="39" t="s">
        <v>116</v>
      </c>
      <c r="B16" s="24">
        <f>IF(11824.01649="","-",11824.01649)</f>
        <v>11824.01649</v>
      </c>
      <c r="C16" s="24" t="s">
        <v>199</v>
      </c>
      <c r="D16" s="24">
        <f>IF(6622.55364="","-",6622.55364/599501.49446*100)</f>
        <v>1.1046767524683578</v>
      </c>
      <c r="E16" s="24">
        <f>IF(11824.01649="","-",11824.01649/801882.3303*100)</f>
        <v>1.47453261447679</v>
      </c>
      <c r="F16" s="24">
        <f>IF(OR(494274.03793="",6679.27153="",6622.55364=""),"-",(6622.55364-6679.27153)/494274.03793*100)</f>
        <v>-0.011474988700100892</v>
      </c>
      <c r="G16" s="24">
        <f>IF(OR(599501.49446="",11824.01649="",6622.55364=""),"-",(11824.01649-6622.55364)/599501.49446*100)</f>
        <v>0.8676313400494872</v>
      </c>
    </row>
    <row r="17" spans="1:7" s="16" customFormat="1" ht="15.75">
      <c r="A17" s="39" t="s">
        <v>9</v>
      </c>
      <c r="B17" s="24">
        <f>IF(11152.95785="","-",11152.95785)</f>
        <v>11152.95785</v>
      </c>
      <c r="C17" s="24">
        <f>IF(OR(9551.92326="",11152.95785=""),"-",11152.95785/9551.92326*100)</f>
        <v>116.76138455492575</v>
      </c>
      <c r="D17" s="24">
        <f>IF(9551.92326="","-",9551.92326/599501.49446*100)</f>
        <v>1.5933110006012379</v>
      </c>
      <c r="E17" s="24">
        <f>IF(11152.95785="","-",11152.95785/801882.3303*100)</f>
        <v>1.3908471889918637</v>
      </c>
      <c r="F17" s="24">
        <f>IF(OR(494274.03793="",7191.83387="",9551.92326=""),"-",(9551.92326-7191.83387)/494274.03793*100)</f>
        <v>0.47748601158255444</v>
      </c>
      <c r="G17" s="24">
        <f>IF(OR(599501.49446="",11152.95785="",9551.92326=""),"-",(11152.95785-9551.92326)/599501.49446*100)</f>
        <v>0.26706098396670896</v>
      </c>
    </row>
    <row r="18" spans="1:7" s="16" customFormat="1" ht="15.75">
      <c r="A18" s="39" t="s">
        <v>8</v>
      </c>
      <c r="B18" s="24">
        <f>IF(9209.15099="","-",9209.15099)</f>
        <v>9209.15099</v>
      </c>
      <c r="C18" s="24">
        <f>IF(OR(6133.5909="",9209.15099=""),"-",9209.15099/6133.5909*100)</f>
        <v>150.14289573828603</v>
      </c>
      <c r="D18" s="24">
        <f>IF(6133.5909="","-",6133.5909/599501.49446*100)</f>
        <v>1.023115197656817</v>
      </c>
      <c r="E18" s="24">
        <f>IF(9209.15099="","-",9209.15099/801882.3303*100)</f>
        <v>1.1484416905102117</v>
      </c>
      <c r="F18" s="24">
        <f>IF(OR(494274.03793="",5402.05739="",6133.5909=""),"-",(6133.5909-5402.05739)/494274.03793*100)</f>
        <v>0.1480016051548314</v>
      </c>
      <c r="G18" s="24">
        <f>IF(OR(599501.49446="",9209.15099="",6133.5909=""),"-",(9209.15099-6133.5909)/599501.49446*100)</f>
        <v>0.5130195868436168</v>
      </c>
    </row>
    <row r="19" spans="1:7" s="16" customFormat="1" ht="15.75" customHeight="1">
      <c r="A19" s="39" t="s">
        <v>12</v>
      </c>
      <c r="B19" s="24">
        <f>IF(8975.29304="","-",8975.29304)</f>
        <v>8975.29304</v>
      </c>
      <c r="C19" s="24">
        <f>IF(OR(6278.47991="",8975.29304=""),"-",8975.29304/6278.47991*100)</f>
        <v>142.9532811868152</v>
      </c>
      <c r="D19" s="24">
        <f>IF(6278.47991="","-",6278.47991/599501.49446*100)</f>
        <v>1.0472834459996352</v>
      </c>
      <c r="E19" s="24">
        <f>IF(8975.29304="","-",8975.29304/801882.3303*100)</f>
        <v>1.1192780662272688</v>
      </c>
      <c r="F19" s="24">
        <f>IF(OR(494274.03793="",5079.2992="",6278.47991=""),"-",(6278.47991-5079.2992)/494274.03793*100)</f>
        <v>0.2426145453688243</v>
      </c>
      <c r="G19" s="24">
        <f>IF(OR(599501.49446="",8975.29304="",6278.47991=""),"-",(8975.29304-6278.47991)/599501.49446*100)</f>
        <v>0.44984260338319104</v>
      </c>
    </row>
    <row r="20" spans="1:7" s="16" customFormat="1" ht="15.75">
      <c r="A20" s="39" t="s">
        <v>195</v>
      </c>
      <c r="B20" s="24">
        <f>IF(6837.1043="","-",6837.1043)</f>
        <v>6837.1043</v>
      </c>
      <c r="C20" s="24">
        <f>IF(OR(7746.35415="",6837.1043=""),"-",6837.1043/7746.35415*100)</f>
        <v>88.2622220415781</v>
      </c>
      <c r="D20" s="24">
        <f>IF(7746.35415="","-",7746.35415/599501.49446*100)</f>
        <v>1.2921325837523585</v>
      </c>
      <c r="E20" s="24">
        <f>IF(6837.1043="","-",6837.1043/801882.3303*100)</f>
        <v>0.8526318689977999</v>
      </c>
      <c r="F20" s="24">
        <f>IF(OR(494274.03793="",8538.76361="",7746.35415=""),"-",(7746.35415-8538.76361)/494274.03793*100)</f>
        <v>-0.16031783973897945</v>
      </c>
      <c r="G20" s="24">
        <f>IF(OR(599501.49446="",6837.1043="",7746.35415=""),"-",(6837.1043-7746.35415)/599501.49446*100)</f>
        <v>-0.15166765360927173</v>
      </c>
    </row>
    <row r="21" spans="1:7" s="16" customFormat="1" ht="15.75">
      <c r="A21" s="39" t="s">
        <v>117</v>
      </c>
      <c r="B21" s="24">
        <f>IF(5390.67241="","-",5390.67241)</f>
        <v>5390.67241</v>
      </c>
      <c r="C21" s="24">
        <f>IF(OR(4367.96241="",5390.67241=""),"-",5390.67241/4367.96241*100)</f>
        <v>123.41389197074157</v>
      </c>
      <c r="D21" s="24">
        <f>IF(4367.96241="","-",4367.96241/599501.49446*100)</f>
        <v>0.7285990861347953</v>
      </c>
      <c r="E21" s="24">
        <f>IF(5390.67241="","-",5390.67241/801882.3303*100)</f>
        <v>0.6722523001577105</v>
      </c>
      <c r="F21" s="24">
        <f>IF(OR(494274.03793="",3392.29087="",4367.96241=""),"-",(4367.96241-3392.29087)/494274.03793*100)</f>
        <v>0.19739485895032519</v>
      </c>
      <c r="G21" s="24">
        <f>IF(OR(599501.49446="",5390.67241="",4367.96241=""),"-",(5390.67241-4367.96241)/599501.49446*100)</f>
        <v>0.1705934029274113</v>
      </c>
    </row>
    <row r="22" spans="1:7" s="16" customFormat="1" ht="15.75">
      <c r="A22" s="39" t="s">
        <v>120</v>
      </c>
      <c r="B22" s="24">
        <f>IF(4499.45642="","-",4499.45642)</f>
        <v>4499.45642</v>
      </c>
      <c r="C22" s="24">
        <f>IF(OR(3201.66626="",4499.45642=""),"-",4499.45642/3201.66626*100)</f>
        <v>140.53483575767828</v>
      </c>
      <c r="D22" s="24">
        <f>IF(3201.66626="","-",3201.66626/599501.49446*100)</f>
        <v>0.534054758759842</v>
      </c>
      <c r="E22" s="24">
        <f>IF(4499.45642="","-",4499.45642/801882.3303*100)</f>
        <v>0.5611118053089741</v>
      </c>
      <c r="F22" s="24">
        <f>IF(OR(494274.03793="",1893.36032="",3201.66626=""),"-",(3201.66626-1893.36032)/494274.03793*100)</f>
        <v>0.26469242557815365</v>
      </c>
      <c r="G22" s="24">
        <f>IF(OR(599501.49446="",4499.45642="",3201.66626=""),"-",(4499.45642-3201.66626)/599501.49446*100)</f>
        <v>0.2164782193193668</v>
      </c>
    </row>
    <row r="23" spans="1:7" s="16" customFormat="1" ht="15.75">
      <c r="A23" s="39" t="s">
        <v>126</v>
      </c>
      <c r="B23" s="24">
        <f>IF(3475.33078="","-",3475.33078)</f>
        <v>3475.33078</v>
      </c>
      <c r="C23" s="24" t="s">
        <v>201</v>
      </c>
      <c r="D23" s="24">
        <f>IF(2183.8126="","-",2183.8126/599501.49446*100)</f>
        <v>0.36427141886728176</v>
      </c>
      <c r="E23" s="24">
        <f>IF(3475.33078="","-",3475.33078/801882.3303*100)</f>
        <v>0.433396603052696</v>
      </c>
      <c r="F23" s="24">
        <f>IF(OR(494274.03793="",1778.30031="",2183.8126=""),"-",(2183.8126-1778.30031)/494274.03793*100)</f>
        <v>0.08204199672276324</v>
      </c>
      <c r="G23" s="24">
        <f>IF(OR(599501.49446="",3475.33078="",2183.8126=""),"-",(3475.33078-2183.8126)/599501.49446*100)</f>
        <v>0.2154320200925158</v>
      </c>
    </row>
    <row r="24" spans="1:7" s="16" customFormat="1" ht="15.75">
      <c r="A24" s="39" t="s">
        <v>11</v>
      </c>
      <c r="B24" s="24">
        <f>IF(3057.65758="","-",3057.65758)</f>
        <v>3057.65758</v>
      </c>
      <c r="C24" s="24">
        <f>IF(OR(2528.15862="",3057.65758=""),"-",3057.65758/2528.15862*100)</f>
        <v>120.94405611306145</v>
      </c>
      <c r="D24" s="24">
        <f>IF(2528.15862="","-",2528.15862/599501.49446*100)</f>
        <v>0.4217101447390444</v>
      </c>
      <c r="E24" s="24">
        <f>IF(3057.65758="","-",3057.65758/801882.3303*100)</f>
        <v>0.38131000827217004</v>
      </c>
      <c r="F24" s="24">
        <f>IF(OR(494274.03793="",2678.74656="",2528.15862=""),"-",(2528.15862-2678.74656)/494274.03793*100)</f>
        <v>-0.0304664879083385</v>
      </c>
      <c r="G24" s="24">
        <f>IF(OR(599501.49446="",3057.65758="",2528.15862=""),"-",(3057.65758-2528.15862)/599501.49446*100)</f>
        <v>0.0883232093486181</v>
      </c>
    </row>
    <row r="25" spans="1:7" s="16" customFormat="1" ht="15.75">
      <c r="A25" s="39" t="s">
        <v>124</v>
      </c>
      <c r="B25" s="24">
        <f>IF(2767.41739="","-",2767.41739)</f>
        <v>2767.41739</v>
      </c>
      <c r="C25" s="24" t="s">
        <v>199</v>
      </c>
      <c r="D25" s="24">
        <f>IF(1508.73079="","-",1508.73079/599501.49446*100)</f>
        <v>0.2516642250173182</v>
      </c>
      <c r="E25" s="24">
        <f>IF(2767.41739="","-",2767.41739/801882.3303*100)</f>
        <v>0.34511514787520686</v>
      </c>
      <c r="F25" s="24">
        <f>IF(OR(494274.03793="",1664.40107="",1508.73079=""),"-",(1508.73079-1664.40107)/494274.03793*100)</f>
        <v>-0.031494731273352075</v>
      </c>
      <c r="G25" s="24">
        <f>IF(OR(599501.49446="",2767.41739="",1508.73079=""),"-",(2767.41739-1508.73079)/599501.49446*100)</f>
        <v>0.2099555399997393</v>
      </c>
    </row>
    <row r="26" spans="1:7" s="16" customFormat="1" ht="15.75">
      <c r="A26" s="39" t="s">
        <v>127</v>
      </c>
      <c r="B26" s="24">
        <f>IF(2680.94976="","-",2680.94976)</f>
        <v>2680.94976</v>
      </c>
      <c r="C26" s="24" t="s">
        <v>201</v>
      </c>
      <c r="D26" s="24">
        <f>IF(1708.54514="","-",1708.54514/599501.49446*100)</f>
        <v>0.28499430873628917</v>
      </c>
      <c r="E26" s="24">
        <f>IF(2680.94976="","-",2680.94976/801882.3303*100)</f>
        <v>0.3343320657779058</v>
      </c>
      <c r="F26" s="24">
        <f>IF(OR(494274.03793="",1803.79575="",1708.54514=""),"-",(1708.54514-1803.79575)/494274.03793*100)</f>
        <v>-0.019270809852547754</v>
      </c>
      <c r="G26" s="24">
        <f>IF(OR(599501.49446="",2680.94976="",1708.54514=""),"-",(2680.94976-1708.54514)/599501.49446*100)</f>
        <v>0.16220220115979728</v>
      </c>
    </row>
    <row r="27" spans="1:7" s="16" customFormat="1" ht="15.75">
      <c r="A27" s="39" t="s">
        <v>128</v>
      </c>
      <c r="B27" s="24">
        <f>IF(2153.89917="","-",2153.89917)</f>
        <v>2153.89917</v>
      </c>
      <c r="C27" s="24">
        <f>IF(OR(1418.25121="",2153.89917=""),"-",2153.89917/1418.25121*100)</f>
        <v>151.87007455470462</v>
      </c>
      <c r="D27" s="24">
        <f>IF(1418.25121="","-",1418.25121/599501.49446*100)</f>
        <v>0.2365717555512497</v>
      </c>
      <c r="E27" s="24">
        <f>IF(2153.89917="","-",2153.89917/801882.3303*100)</f>
        <v>0.26860539116682913</v>
      </c>
      <c r="F27" s="24">
        <f>IF(OR(494274.03793="",788.20188="",1418.25121=""),"-",(1418.25121-788.20188)/494274.03793*100)</f>
        <v>0.12746963863176416</v>
      </c>
      <c r="G27" s="24">
        <f>IF(OR(599501.49446="",2153.89917="",1418.25121=""),"-",(2153.89917-1418.25121)/599501.49446*100)</f>
        <v>0.12270994597980676</v>
      </c>
    </row>
    <row r="28" spans="1:7" s="16" customFormat="1" ht="15.75">
      <c r="A28" s="39" t="s">
        <v>121</v>
      </c>
      <c r="B28" s="24">
        <f>IF(1894.09198="","-",1894.09198)</f>
        <v>1894.09198</v>
      </c>
      <c r="C28" s="24" t="s">
        <v>199</v>
      </c>
      <c r="D28" s="24">
        <f>IF(1046.85692="","-",1046.85692/599501.49446*100)</f>
        <v>0.1746212360893203</v>
      </c>
      <c r="E28" s="24">
        <f>IF(1894.09198="","-",1894.09198/801882.3303*100)</f>
        <v>0.23620572600613143</v>
      </c>
      <c r="F28" s="24">
        <f>IF(OR(494274.03793="",1288.55597="",1046.85692=""),"-",(1046.85692-1288.55597)/494274.03793*100)</f>
        <v>-0.04889980687883709</v>
      </c>
      <c r="G28" s="24">
        <f>IF(OR(599501.49446="",1894.09198="",1046.85692=""),"-",(1894.09198-1046.85692)/599501.49446*100)</f>
        <v>0.14132326071399465</v>
      </c>
    </row>
    <row r="29" spans="1:7" s="16" customFormat="1" ht="15.75">
      <c r="A29" s="39" t="s">
        <v>119</v>
      </c>
      <c r="B29" s="24">
        <f>IF(1376.63036="","-",1376.63036)</f>
        <v>1376.63036</v>
      </c>
      <c r="C29" s="24">
        <f>IF(OR(1775.32084="",1376.63036=""),"-",1376.63036/1775.32084*100)</f>
        <v>77.54262378849785</v>
      </c>
      <c r="D29" s="24">
        <f>IF(1775.32084="","-",1775.32084/599501.49446*100)</f>
        <v>0.29613284644087795</v>
      </c>
      <c r="E29" s="24">
        <f>IF(1376.63036="","-",1376.63036/801882.3303*100)</f>
        <v>0.17167485901391236</v>
      </c>
      <c r="F29" s="24">
        <f>IF(OR(494274.03793="",2970.74902="",1775.32084=""),"-",(1775.32084-2970.74902)/494274.03793*100)</f>
        <v>-0.24185534506453257</v>
      </c>
      <c r="G29" s="24">
        <f>IF(OR(599501.49446="",1376.63036="",1775.32084=""),"-",(1376.63036-1775.32084)/599501.49446*100)</f>
        <v>-0.06650366741105788</v>
      </c>
    </row>
    <row r="30" spans="1:7" s="16" customFormat="1" ht="15.75">
      <c r="A30" s="39" t="s">
        <v>125</v>
      </c>
      <c r="B30" s="24">
        <f>IF(1105.32506="","-",1105.32506)</f>
        <v>1105.32506</v>
      </c>
      <c r="C30" s="24">
        <f>IF(OR(749.76532="",1105.32506=""),"-",1105.32506/749.76532*100)</f>
        <v>147.4228042449336</v>
      </c>
      <c r="D30" s="24">
        <f>IF(749.76532="","-",749.76532/599501.49446*100)</f>
        <v>0.12506479582262758</v>
      </c>
      <c r="E30" s="24">
        <f>IF(1105.32506="","-",1105.32506/801882.3303*100)</f>
        <v>0.13784130392129676</v>
      </c>
      <c r="F30" s="24">
        <f>IF(OR(494274.03793="",925.67277="",749.76532=""),"-",(749.76532-925.67277)/494274.03793*100)</f>
        <v>-0.03558905313673634</v>
      </c>
      <c r="G30" s="24">
        <f>IF(OR(599501.49446="",1105.32506="",749.76532=""),"-",(1105.32506-749.76532)/599501.49446*100)</f>
        <v>0.059309233302290564</v>
      </c>
    </row>
    <row r="31" spans="1:7" s="16" customFormat="1" ht="15.75">
      <c r="A31" s="39" t="s">
        <v>129</v>
      </c>
      <c r="B31" s="24">
        <f>IF(846.82887="","-",846.82887)</f>
        <v>846.82887</v>
      </c>
      <c r="C31" s="24" t="s">
        <v>200</v>
      </c>
      <c r="D31" s="24">
        <f>IF(491.45024="","-",491.45024/599501.49446*100)</f>
        <v>0.08197648288477963</v>
      </c>
      <c r="E31" s="24">
        <f>IF(846.82887="","-",846.82887/801882.3303*100)</f>
        <v>0.10560512908211665</v>
      </c>
      <c r="F31" s="24">
        <f>IF(OR(494274.03793="",665.2524="",491.45024=""),"-",(491.45024-665.2524)/494274.03793*100)</f>
        <v>-0.03516311735244612</v>
      </c>
      <c r="G31" s="24">
        <f>IF(OR(599501.49446="",846.82887="",491.45024=""),"-",(846.82887-491.45024)/599501.49446*100)</f>
        <v>0.0592790232024537</v>
      </c>
    </row>
    <row r="32" spans="1:7" s="16" customFormat="1" ht="15.75">
      <c r="A32" s="39" t="s">
        <v>122</v>
      </c>
      <c r="B32" s="24">
        <f>IF(589.06765="","-",589.06765)</f>
        <v>589.06765</v>
      </c>
      <c r="C32" s="24">
        <f>IF(OR(633.32336="",589.06765=""),"-",589.06765/633.32336*100)</f>
        <v>93.0121462754824</v>
      </c>
      <c r="D32" s="24">
        <f>IF(633.32336="","-",633.32336/599501.49446*100)</f>
        <v>0.10564166492536688</v>
      </c>
      <c r="E32" s="24">
        <f>IF(589.06765="","-",589.06765/801882.3303*100)</f>
        <v>0.07346060983531313</v>
      </c>
      <c r="F32" s="24">
        <f>IF(OR(494274.03793="",511.7471="",633.32336=""),"-",(633.32336-511.7471)/494274.03793*100)</f>
        <v>0.0245969342248192</v>
      </c>
      <c r="G32" s="24">
        <f>IF(OR(599501.49446="",589.06765="",633.32336=""),"-",(589.06765-633.32336)/599501.49446*100)</f>
        <v>-0.0073820850171296545</v>
      </c>
    </row>
    <row r="33" spans="1:7" s="16" customFormat="1" ht="15.75">
      <c r="A33" s="39" t="s">
        <v>189</v>
      </c>
      <c r="B33" s="24">
        <f>IF(456.31259="","-",456.31259)</f>
        <v>456.31259</v>
      </c>
      <c r="C33" s="24" t="s">
        <v>211</v>
      </c>
      <c r="D33" s="24">
        <f>IF(157.21502="","-",157.21502/599501.49446*100)</f>
        <v>0.026224291591067872</v>
      </c>
      <c r="E33" s="24">
        <f>IF(456.31259="","-",456.31259/801882.3303*100)</f>
        <v>0.056905180817400536</v>
      </c>
      <c r="F33" s="24">
        <f>IF(OR(494274.03793="",96.64042="",157.21502=""),"-",(157.21502-96.64042)/494274.03793*100)</f>
        <v>0.012255266380909673</v>
      </c>
      <c r="G33" s="24">
        <f>IF(OR(599501.49446="",456.31259="",157.21502=""),"-",(456.31259-157.21502)/599501.49446*100)</f>
        <v>0.04989104660521517</v>
      </c>
    </row>
    <row r="34" spans="1:7" s="16" customFormat="1" ht="15.75">
      <c r="A34" s="39" t="s">
        <v>130</v>
      </c>
      <c r="B34" s="24">
        <f>IF(188.22676="","-",188.22676)</f>
        <v>188.22676</v>
      </c>
      <c r="C34" s="24">
        <f>IF(OR(332.82604="",188.22676=""),"-",188.22676/332.82604*100)</f>
        <v>56.55409654845517</v>
      </c>
      <c r="D34" s="24">
        <f>IF(332.82604="","-",332.82604/599501.49446*100)</f>
        <v>0.05551713266366292</v>
      </c>
      <c r="E34" s="24">
        <f>IF(188.22676="","-",188.22676/801882.3303*100)</f>
        <v>0.02347311480595671</v>
      </c>
      <c r="F34" s="24">
        <f>IF(OR(494274.03793="",66.143="",332.82604=""),"-",(332.82604-66.143)/494274.03793*100)</f>
        <v>0.0539544907349085</v>
      </c>
      <c r="G34" s="24">
        <f>IF(OR(599501.49446="",188.22676="",332.82604=""),"-",(188.22676-332.82604)/599501.49446*100)</f>
        <v>-0.02411991985612105</v>
      </c>
    </row>
    <row r="35" spans="1:7" s="16" customFormat="1" ht="15.75">
      <c r="A35" s="39" t="s">
        <v>123</v>
      </c>
      <c r="B35" s="24">
        <f>IF(86.96612="","-",86.96612)</f>
        <v>86.96612</v>
      </c>
      <c r="C35" s="24">
        <f>IF(OR(147.86859="",86.96612=""),"-",86.96612/147.86859*100)</f>
        <v>58.813112372275945</v>
      </c>
      <c r="D35" s="24">
        <f>IF(147.86859="","-",147.86859/599501.49446*100)</f>
        <v>0.02466525794621954</v>
      </c>
      <c r="E35" s="24">
        <f>IF(86.96612="","-",86.96612/801882.3303*100)</f>
        <v>0.010845247078516402</v>
      </c>
      <c r="F35" s="24">
        <f>IF(OR(494274.03793="",99.24238="",147.86859=""),"-",(147.86859-99.24238)/494274.03793*100)</f>
        <v>0.009837904941081804</v>
      </c>
      <c r="G35" s="24">
        <f>IF(OR(599501.49446="",86.96612="",147.86859=""),"-",(86.96612-147.86859)/599501.49446*100)</f>
        <v>-0.010158852073397716</v>
      </c>
    </row>
    <row r="36" spans="1:7" s="16" customFormat="1" ht="15.75">
      <c r="A36" s="39" t="s">
        <v>131</v>
      </c>
      <c r="B36" s="24">
        <f>IF(34.94745="","-",34.94745)</f>
        <v>34.94745</v>
      </c>
      <c r="C36" s="24">
        <f>IF(OR(34.02719="",34.94745=""),"-",34.94745/34.02719*100)</f>
        <v>102.70448426684662</v>
      </c>
      <c r="D36" s="24">
        <f>IF(34.02719="","-",34.02719/599501.49446*100)</f>
        <v>0.005675914124392624</v>
      </c>
      <c r="E36" s="24">
        <f>IF(34.94745="","-",34.94745/801882.3303*100)</f>
        <v>0.004358176839602572</v>
      </c>
      <c r="F36" s="24">
        <f>IF(OR(494274.03793="",19.50927="",34.02719=""),"-",(34.02719-19.50927)/494274.03793*100)</f>
        <v>0.0029372208301290652</v>
      </c>
      <c r="G36" s="24">
        <f>IF(OR(599501.49446="",34.94745="",34.02719=""),"-",(34.94745-34.02719)/599501.49446*100)</f>
        <v>0.00015350420449392353</v>
      </c>
    </row>
    <row r="37" spans="1:7" s="16" customFormat="1" ht="15.75">
      <c r="A37" s="15" t="s">
        <v>13</v>
      </c>
      <c r="B37" s="23">
        <f>IF(198475.03695="","-",198475.03695)</f>
        <v>198475.03695</v>
      </c>
      <c r="C37" s="23">
        <f>IF(167492.58528="","-",198475.03695/167492.58528*100)</f>
        <v>118.49780491369582</v>
      </c>
      <c r="D37" s="23">
        <f>IF(167492.58528="","-",167492.58528/599501.49446*100)</f>
        <v>27.938643494269964</v>
      </c>
      <c r="E37" s="23">
        <f>IF(198475.03695="","-",198475.03695/801882.3303*100)</f>
        <v>24.75114233727367</v>
      </c>
      <c r="F37" s="23">
        <f>IF(494274.03793="","-",(167492.58528-154467.18936)/494274.03793*100)</f>
        <v>2.635257958226948</v>
      </c>
      <c r="G37" s="23">
        <f>IF(599501.49446="","-",(198475.03695-167492.58528)/599501.49446*100)</f>
        <v>5.168035769103028</v>
      </c>
    </row>
    <row r="38" spans="1:7" s="16" customFormat="1" ht="15.75">
      <c r="A38" s="39" t="s">
        <v>196</v>
      </c>
      <c r="B38" s="24">
        <f>IF(122923.80901="","-",122923.80901)</f>
        <v>122923.80901</v>
      </c>
      <c r="C38" s="24">
        <f>IF(OR(104675.23458="",122923.80901=""),"-",122923.80901/104675.23458*100)</f>
        <v>117.43351663191466</v>
      </c>
      <c r="D38" s="24">
        <f>IF(104675.23458="","-",104675.23458/599501.49446*100)</f>
        <v>17.460379256316294</v>
      </c>
      <c r="E38" s="24">
        <f>IF(122923.80901="","-",122923.80901/801882.3303*100)</f>
        <v>15.329407366291731</v>
      </c>
      <c r="F38" s="24">
        <f>IF(OR(494274.03793="",104095.87531="",104675.23458=""),"-",(104675.23458-104095.87531)/494274.03793*100)</f>
        <v>0.11721418191947414</v>
      </c>
      <c r="G38" s="24">
        <f>IF(OR(599501.49446="",122923.80901="",104675.23458=""),"-",(122923.80901-104675.23458)/599501.49446*100)</f>
        <v>3.0439581216452796</v>
      </c>
    </row>
    <row r="39" spans="1:7" s="16" customFormat="1" ht="15.75">
      <c r="A39" s="39" t="s">
        <v>15</v>
      </c>
      <c r="B39" s="24">
        <f>IF(62858.8962="","-",62858.8962)</f>
        <v>62858.8962</v>
      </c>
      <c r="C39" s="24">
        <f>IF(OR(44789.79626="",62858.8962=""),"-",62858.8962/44789.79626*100)</f>
        <v>140.34200074300583</v>
      </c>
      <c r="D39" s="24">
        <f>IF(44789.79626="","-",44789.79626/599501.49446*100)</f>
        <v>7.471173412227161</v>
      </c>
      <c r="E39" s="24">
        <f>IF(62858.8962="","-",62858.8962/801882.3303*100)</f>
        <v>7.838917734536343</v>
      </c>
      <c r="F39" s="24">
        <f>IF(OR(494274.03793="",37142.01645="",44789.79626=""),"-",(44789.79626-37142.01645)/494274.03793*100)</f>
        <v>1.5472752406799672</v>
      </c>
      <c r="G39" s="24">
        <f>IF(OR(599501.49446="",62858.8962="",44789.79626=""),"-",(62858.8962-44789.79626)/599501.49446*100)</f>
        <v>3.0140208334719354</v>
      </c>
    </row>
    <row r="40" spans="1:7" s="16" customFormat="1" ht="15.75">
      <c r="A40" s="39" t="s">
        <v>14</v>
      </c>
      <c r="B40" s="24">
        <f>IF(11357.78522="","-",11357.78522)</f>
        <v>11357.78522</v>
      </c>
      <c r="C40" s="24">
        <f>IF(OR(16915.24902="",11357.78522=""),"-",11357.78522/16915.24902*100)</f>
        <v>67.14524395455811</v>
      </c>
      <c r="D40" s="24">
        <f>IF(16915.24902="","-",16915.24902/599501.49446*100)</f>
        <v>2.821552435867801</v>
      </c>
      <c r="E40" s="24">
        <f>IF(11357.78522="","-",11357.78522/801882.3303*100)</f>
        <v>1.416390509035263</v>
      </c>
      <c r="F40" s="24">
        <f>IF(OR(494274.03793="",11501.31999="",16915.24902=""),"-",(16915.24902-11501.31999)/494274.03793*100)</f>
        <v>1.0953294356048557</v>
      </c>
      <c r="G40" s="24">
        <f>IF(OR(599501.49446="",11357.78522="",16915.24902=""),"-",(11357.78522-16915.24902)/599501.49446*100)</f>
        <v>-0.9270141694985893</v>
      </c>
    </row>
    <row r="41" spans="1:7" s="16" customFormat="1" ht="15.75">
      <c r="A41" s="39" t="s">
        <v>18</v>
      </c>
      <c r="B41" s="24">
        <f>IF(697.81339="","-",697.81339)</f>
        <v>697.81339</v>
      </c>
      <c r="C41" s="24">
        <f>IF(OR(653.18921="",697.81339=""),"-",697.81339/653.18921*100)</f>
        <v>106.83173869329532</v>
      </c>
      <c r="D41" s="24">
        <f>IF(653.18921="","-",653.18921/599501.49446*100)</f>
        <v>0.10895539311179853</v>
      </c>
      <c r="E41" s="24">
        <f>IF(697.81339="","-",697.81339/801882.3303*100)</f>
        <v>0.08702191875694958</v>
      </c>
      <c r="F41" s="24">
        <f>IF(OR(494274.03793="",579.48994="",653.18921=""),"-",(653.18921-579.48994)/494274.03793*100)</f>
        <v>0.014910609165039208</v>
      </c>
      <c r="G41" s="24">
        <f>IF(OR(599501.49446="",697.81339="",653.18921=""),"-",(697.81339-653.18921)/599501.49446*100)</f>
        <v>0.007443547749650764</v>
      </c>
    </row>
    <row r="42" spans="1:7" s="16" customFormat="1" ht="15.75">
      <c r="A42" s="39" t="s">
        <v>16</v>
      </c>
      <c r="B42" s="24">
        <f>IF(269.38437="","-",269.38437)</f>
        <v>269.38437</v>
      </c>
      <c r="C42" s="24">
        <f>IF(OR(378.53398="",269.38437=""),"-",269.38437/378.53398*100)</f>
        <v>71.16517518453693</v>
      </c>
      <c r="D42" s="24">
        <f>IF(378.53398="","-",378.53398/599501.49446*100)</f>
        <v>0.06314145727709383</v>
      </c>
      <c r="E42" s="24">
        <f>IF(269.38437="","-",269.38437/801882.3303*100)</f>
        <v>0.033594002489020794</v>
      </c>
      <c r="F42" s="24">
        <f>IF(OR(494274.03793="",831.30046="",378.53398=""),"-",(378.53398-831.30046)/494274.03793*100)</f>
        <v>-0.09160231880601459</v>
      </c>
      <c r="G42" s="24">
        <f>IF(OR(599501.49446="",269.38437="",378.53398=""),"-",(269.38437-378.53398)/599501.49446*100)</f>
        <v>-0.018206728591780467</v>
      </c>
    </row>
    <row r="43" spans="1:7" s="16" customFormat="1" ht="15.75">
      <c r="A43" s="39" t="s">
        <v>21</v>
      </c>
      <c r="B43" s="24">
        <f>IF(190.04003="","-",190.04003)</f>
        <v>190.04003</v>
      </c>
      <c r="C43" s="24" t="s">
        <v>237</v>
      </c>
      <c r="D43" s="24">
        <f>IF(44.01307="","-",44.01307/599501.49446*100)</f>
        <v>0.007341611389917335</v>
      </c>
      <c r="E43" s="24">
        <f>IF(190.04003="","-",190.04003/801882.3303*100)</f>
        <v>0.02369924149954798</v>
      </c>
      <c r="F43" s="24">
        <f>IF(OR(494274.03793="",19.78983="",44.01307=""),"-",(44.01307-19.78983)/494274.03793*100)</f>
        <v>0.004900771260705087</v>
      </c>
      <c r="G43" s="24">
        <f>IF(OR(599501.49446="",190.04003="",44.01307=""),"-",(190.04003-44.01307)/599501.49446*100)</f>
        <v>0.024358064383398003</v>
      </c>
    </row>
    <row r="44" spans="1:7" s="16" customFormat="1" ht="15.75">
      <c r="A44" s="39" t="s">
        <v>17</v>
      </c>
      <c r="B44" s="24">
        <f>IF(149.26807="","-",149.26807)</f>
        <v>149.26807</v>
      </c>
      <c r="C44" s="24" t="s">
        <v>217</v>
      </c>
      <c r="D44" s="24">
        <f>IF(32.09394="","-",32.09394/599501.49446*100)</f>
        <v>0.005353437864055463</v>
      </c>
      <c r="E44" s="24">
        <f>IF(149.26807="","-",149.26807/801882.3303*100)</f>
        <v>0.018614709959272436</v>
      </c>
      <c r="F44" s="24">
        <f>IF(OR(494274.03793="",232.07691="",32.09394=""),"-",(32.09394-232.07691)/494274.03793*100)</f>
        <v>-0.04045993814231488</v>
      </c>
      <c r="G44" s="24">
        <f>IF(OR(599501.49446="",149.26807="",32.09394=""),"-",(149.26807-32.09394)/599501.49446*100)</f>
        <v>0.01954526070123385</v>
      </c>
    </row>
    <row r="45" spans="1:7" s="16" customFormat="1" ht="15.75">
      <c r="A45" s="39" t="s">
        <v>19</v>
      </c>
      <c r="B45" s="24">
        <f>IF(27.12266="","-",27.12266)</f>
        <v>27.12266</v>
      </c>
      <c r="C45" s="24" t="str">
        <f>IF(OR(""="",27.12266=""),"-",27.12266/""*100)</f>
        <v>-</v>
      </c>
      <c r="D45" s="24" t="str">
        <f>IF(""="","-",""/599501.49446*100)</f>
        <v>-</v>
      </c>
      <c r="E45" s="24">
        <f>IF(27.12266="","-",27.12266/801882.3303*100)</f>
        <v>0.003382374068506146</v>
      </c>
      <c r="F45" s="24" t="str">
        <f>IF(OR(494274.03793="",65.23106="",""=""),"-",(""-65.23106)/494274.03793*100)</f>
        <v>-</v>
      </c>
      <c r="G45" s="24" t="str">
        <f>IF(OR(599501.49446="",27.12266="",""=""),"-",(27.12266-"")/599501.49446*100)</f>
        <v>-</v>
      </c>
    </row>
    <row r="46" spans="1:7" s="16" customFormat="1" ht="15.75">
      <c r="A46" s="39" t="s">
        <v>20</v>
      </c>
      <c r="B46" s="24">
        <f>IF(0.918="","-",0.918)</f>
        <v>0.918</v>
      </c>
      <c r="C46" s="24">
        <f>IF(OR(4.47522="",0.918=""),"-",0.918/4.47522*100)</f>
        <v>20.512958022175447</v>
      </c>
      <c r="D46" s="24">
        <f>IF(4.47522="","-",4.47522/599501.49446*100)</f>
        <v>0.0007464902158469259</v>
      </c>
      <c r="E46" s="24">
        <f>IF(0.918="","-",0.918/801882.3303*100)</f>
        <v>0.00011448063703518171</v>
      </c>
      <c r="F46" s="24" t="str">
        <f>IF(OR(494274.03793="",""="",4.47522=""),"-",(4.47522-"")/494274.03793*100)</f>
        <v>-</v>
      </c>
      <c r="G46" s="24">
        <f>IF(OR(599501.49446="",0.918="",4.47522=""),"-",(0.918-4.47522)/599501.49446*100)</f>
        <v>-0.0005933629912305991</v>
      </c>
    </row>
    <row r="47" spans="1:7" s="16" customFormat="1" ht="15.75">
      <c r="A47" s="15" t="s">
        <v>23</v>
      </c>
      <c r="B47" s="23">
        <f>IF(215867.44972="","-",215867.44972)</f>
        <v>215867.44972</v>
      </c>
      <c r="C47" s="23">
        <f>IF(158606.12478="","-",215867.44972/158606.12478*100)</f>
        <v>136.10284597737083</v>
      </c>
      <c r="D47" s="23">
        <f>IF(158606.12478="","-",158606.12478/599501.49446*100)</f>
        <v>26.45633517942507</v>
      </c>
      <c r="E47" s="23">
        <f>IF(215867.44972="","-",215867.44972/801882.3303*100)</f>
        <v>26.920090587261065</v>
      </c>
      <c r="F47" s="23">
        <f>IF(494274.03793="","-",(158606.12478-122424.59872)/494274.03793*100)</f>
        <v>7.320134840892475</v>
      </c>
      <c r="G47" s="23">
        <f>IF(599501.49446="","-",(215867.44972-158606.12478)/599501.49446*100)</f>
        <v>9.551489941084808</v>
      </c>
    </row>
    <row r="48" spans="1:7" s="16" customFormat="1" ht="15.75">
      <c r="A48" s="39" t="s">
        <v>135</v>
      </c>
      <c r="B48" s="24">
        <f>IF(97129.75394="","-",97129.75394)</f>
        <v>97129.75394</v>
      </c>
      <c r="C48" s="24" t="s">
        <v>201</v>
      </c>
      <c r="D48" s="24">
        <f>IF(61290.11869="","-",61290.11869/599501.49446*100)</f>
        <v>10.223513912205838</v>
      </c>
      <c r="E48" s="24">
        <f>IF(97129.75394="","-",97129.75394/801882.3303*100)</f>
        <v>12.112719069849293</v>
      </c>
      <c r="F48" s="24">
        <f>IF(OR(494274.03793="",46145.22364="",61290.11869=""),"-",(61290.11869-46145.22364)/494274.03793*100)</f>
        <v>3.064068489906171</v>
      </c>
      <c r="G48" s="24">
        <f>IF(OR(599501.49446="",97129.75394="",61290.11869=""),"-",(97129.75394-61290.11869)/599501.49446*100)</f>
        <v>5.97823951753156</v>
      </c>
    </row>
    <row r="49" spans="1:7" s="16" customFormat="1" ht="15.75">
      <c r="A49" s="39" t="s">
        <v>132</v>
      </c>
      <c r="B49" s="24">
        <f>IF(49948.30484="","-",49948.30484)</f>
        <v>49948.30484</v>
      </c>
      <c r="C49" s="24">
        <f>IF(OR(39451.1184="",49948.30484=""),"-",49948.30484/39451.1184*100)</f>
        <v>126.60808328313449</v>
      </c>
      <c r="D49" s="24">
        <f>IF(39451.1184="","-",39451.1184/599501.49446*100)</f>
        <v>6.580653887366125</v>
      </c>
      <c r="E49" s="24">
        <f>IF(49948.30484="","-",49948.30484/801882.3303*100)</f>
        <v>6.228882088137962</v>
      </c>
      <c r="F49" s="24">
        <f>IF(OR(494274.03793="",35662.80248="",39451.1184=""),"-",(39451.1184-35662.80248)/494274.03793*100)</f>
        <v>0.7664404013339072</v>
      </c>
      <c r="G49" s="24">
        <f>IF(OR(599501.49446="",49948.30484="",39451.1184=""),"-",(49948.30484-39451.1184)/599501.49446*100)</f>
        <v>1.7509858669252063</v>
      </c>
    </row>
    <row r="50" spans="1:7" s="16" customFormat="1" ht="15.75">
      <c r="A50" s="39" t="s">
        <v>24</v>
      </c>
      <c r="B50" s="24">
        <f>IF(11219.45494="","-",11219.45494)</f>
        <v>11219.45494</v>
      </c>
      <c r="C50" s="24">
        <f>IF(OR(15379.92177="",11219.45494=""),"-",11219.45494/15379.92177*100)</f>
        <v>72.94871266435577</v>
      </c>
      <c r="D50" s="24">
        <f>IF(15379.92177="","-",15379.92177/599501.49446*100)</f>
        <v>2.565451781542837</v>
      </c>
      <c r="E50" s="24">
        <f>IF(11219.45494="","-",11219.45494/801882.3303*100)</f>
        <v>1.399139813419081</v>
      </c>
      <c r="F50" s="24">
        <f>IF(OR(494274.03793="",6059.62027="",15379.92177=""),"-",(15379.92177-6059.62027)/494274.03793*100)</f>
        <v>1.8856546742841387</v>
      </c>
      <c r="G50" s="24">
        <f>IF(OR(599501.49446="",11219.45494="",15379.92177=""),"-",(11219.45494-15379.92177)/599501.49446*100)</f>
        <v>-0.6939877328825569</v>
      </c>
    </row>
    <row r="51" spans="1:7" s="16" customFormat="1" ht="15.75">
      <c r="A51" s="39" t="s">
        <v>149</v>
      </c>
      <c r="B51" s="24">
        <f>IF(5688.20594="","-",5688.20594)</f>
        <v>5688.20594</v>
      </c>
      <c r="C51" s="24">
        <f>IF(OR(4008.32982="",5688.20594=""),"-",5688.20594/4008.32982*100)</f>
        <v>141.90962808544532</v>
      </c>
      <c r="D51" s="24">
        <f>IF(4008.32982="","-",4008.32982/599501.49446*100)</f>
        <v>0.6686104800473428</v>
      </c>
      <c r="E51" s="24">
        <f>IF(5688.20594="","-",5688.20594/801882.3303*100)</f>
        <v>0.7093566880158002</v>
      </c>
      <c r="F51" s="24">
        <f>IF(OR(494274.03793="",1256.15958="",4008.32982=""),"-",(4008.32982-1256.15958)/494274.03793*100)</f>
        <v>0.5568106007602542</v>
      </c>
      <c r="G51" s="24">
        <f>IF(OR(599501.49446="",5688.20594="",4008.32982=""),"-",(5688.20594-4008.32982)/599501.49446*100)</f>
        <v>0.280212165528152</v>
      </c>
    </row>
    <row r="52" spans="1:7" s="16" customFormat="1" ht="15.75">
      <c r="A52" s="39" t="s">
        <v>153</v>
      </c>
      <c r="B52" s="24">
        <f>IF(5631.25519="","-",5631.25519)</f>
        <v>5631.25519</v>
      </c>
      <c r="C52" s="24" t="s">
        <v>175</v>
      </c>
      <c r="D52" s="24">
        <f>IF(2669.5529="","-",2669.5529/599501.49446*100)</f>
        <v>0.44529545375105295</v>
      </c>
      <c r="E52" s="24">
        <f>IF(5631.25519="","-",5631.25519/801882.3303*100)</f>
        <v>0.7022545549660929</v>
      </c>
      <c r="F52" s="24">
        <f>IF(OR(494274.03793="",3089.38505="",2669.5529=""),"-",(2669.5529-3089.38505)/494274.03793*100)</f>
        <v>-0.08493914666411372</v>
      </c>
      <c r="G52" s="24">
        <f>IF(OR(599501.49446="",5631.25519="",2669.5529=""),"-",(5631.25519-2669.5529)/599501.49446*100)</f>
        <v>0.4940275074155984</v>
      </c>
    </row>
    <row r="53" spans="1:7" s="16" customFormat="1" ht="15.75">
      <c r="A53" s="39" t="s">
        <v>146</v>
      </c>
      <c r="B53" s="24">
        <f>IF(4035.4825="","-",4035.4825)</f>
        <v>4035.4825</v>
      </c>
      <c r="C53" s="24">
        <f>IF(OR(3928.24097="",4035.4825=""),"-",4035.4825/3928.24097*100)</f>
        <v>102.73001403984645</v>
      </c>
      <c r="D53" s="24">
        <f>IF(3928.24097="","-",3928.24097/599501.49446*100)</f>
        <v>0.6552512389545179</v>
      </c>
      <c r="E53" s="24">
        <f>IF(4035.4825="","-",4035.4825/801882.3303*100)</f>
        <v>0.5032512062574376</v>
      </c>
      <c r="F53" s="24">
        <f>IF(OR(494274.03793="",4176.28725="",3928.24097=""),"-",(3928.24097-4176.28725)/494274.03793*100)</f>
        <v>-0.050183958890256196</v>
      </c>
      <c r="G53" s="24">
        <f>IF(OR(599501.49446="",4035.4825="",3928.24097=""),"-",(4035.4825-3928.24097)/599501.49446*100)</f>
        <v>0.017888450819726127</v>
      </c>
    </row>
    <row r="54" spans="1:7" s="16" customFormat="1" ht="15.75">
      <c r="A54" s="39" t="s">
        <v>192</v>
      </c>
      <c r="B54" s="24">
        <f>IF(3588.25637="","-",3588.25637)</f>
        <v>3588.25637</v>
      </c>
      <c r="C54" s="24">
        <f>IF(OR(4572.84633="",3588.25637=""),"-",3588.25637/4572.84633*100)</f>
        <v>78.4687722056035</v>
      </c>
      <c r="D54" s="24">
        <f>IF(4572.84633="","-",4572.84633/599501.49446*100)</f>
        <v>0.7627748007732632</v>
      </c>
      <c r="E54" s="24">
        <f>IF(3588.25637="","-",3588.25637/801882.3303*100)</f>
        <v>0.4474791667572426</v>
      </c>
      <c r="F54" s="24">
        <f>IF(OR(494274.03793="",2588.09235="",4572.84633=""),"-",(4572.84633-2588.09235)/494274.03793*100)</f>
        <v>0.401549308216161</v>
      </c>
      <c r="G54" s="24">
        <f>IF(OR(599501.49446="",3588.25637="",4572.84633=""),"-",(3588.25637-4572.84633)/599501.49446*100)</f>
        <v>-0.16423477991274535</v>
      </c>
    </row>
    <row r="55" spans="1:7" s="16" customFormat="1" ht="15.75">
      <c r="A55" s="39" t="s">
        <v>110</v>
      </c>
      <c r="B55" s="24">
        <f>IF(3575.09899="","-",3575.09899)</f>
        <v>3575.09899</v>
      </c>
      <c r="C55" s="24">
        <f>IF(OR(3358.60136="",3575.09899=""),"-",3575.09899/3358.60136*100)</f>
        <v>106.44606509657342</v>
      </c>
      <c r="D55" s="24">
        <f>IF(3358.60136="","-",3358.60136/599501.49446*100)</f>
        <v>0.5602323582237697</v>
      </c>
      <c r="E55" s="24">
        <f>IF(3575.09899="","-",3575.09899/801882.3303*100)</f>
        <v>0.44583835494448226</v>
      </c>
      <c r="F55" s="24">
        <f>IF(OR(494274.03793="",2274.79348="",3358.60136=""),"-",(3358.60136-2274.79348)/494274.03793*100)</f>
        <v>0.21927266998261627</v>
      </c>
      <c r="G55" s="24">
        <f>IF(OR(599501.49446="",3575.09899="",3358.60136=""),"-",(3575.09899-3358.60136)/599501.49446*100)</f>
        <v>0.03611294250317253</v>
      </c>
    </row>
    <row r="56" spans="1:7" s="16" customFormat="1" ht="15.75">
      <c r="A56" s="39" t="s">
        <v>158</v>
      </c>
      <c r="B56" s="24">
        <f>IF(2655.25882="","-",2655.25882)</f>
        <v>2655.25882</v>
      </c>
      <c r="C56" s="24">
        <f>IF(OR(2028.61029="",2655.25882=""),"-",2655.25882/2028.61029*100)</f>
        <v>130.89053294706497</v>
      </c>
      <c r="D56" s="24">
        <f>IF(2028.61029="","-",2028.61029/599501.49446*100)</f>
        <v>0.3383828578821588</v>
      </c>
      <c r="E56" s="24">
        <f>IF(2655.25882="","-",2655.25882/801882.3303*100)</f>
        <v>0.3311282366088071</v>
      </c>
      <c r="F56" s="24">
        <f>IF(OR(494274.03793="",1743.51794="",2028.61029=""),"-",(2028.61029-1743.51794)/494274.03793*100)</f>
        <v>0.05767900559656249</v>
      </c>
      <c r="G56" s="24">
        <f>IF(OR(599501.49446="",2655.25882="",2028.61029=""),"-",(2655.25882-2028.61029)/599501.49446*100)</f>
        <v>0.10452826820130826</v>
      </c>
    </row>
    <row r="57" spans="1:7" s="16" customFormat="1" ht="15.75">
      <c r="A57" s="39" t="s">
        <v>147</v>
      </c>
      <c r="B57" s="24">
        <f>IF(2483.4654="","-",2483.4654)</f>
        <v>2483.4654</v>
      </c>
      <c r="C57" s="24">
        <f>IF(OR(2256.12632="",2483.4654=""),"-",2483.4654/2256.12632*100)</f>
        <v>110.07652266562806</v>
      </c>
      <c r="D57" s="24">
        <f>IF(2256.12632="","-",2256.12632/599501.49446*100)</f>
        <v>0.3763337274133407</v>
      </c>
      <c r="E57" s="24">
        <f>IF(2483.4654="","-",2483.4654/801882.3303*100)</f>
        <v>0.3097044673712771</v>
      </c>
      <c r="F57" s="24">
        <f>IF(OR(494274.03793="",1507.99513="",2256.12632=""),"-",(2256.12632-1507.99513)/494274.03793*100)</f>
        <v>0.15135959661833415</v>
      </c>
      <c r="G57" s="24">
        <f>IF(OR(599501.49446="",2483.4654="",2256.12632=""),"-",(2483.4654-2256.12632)/599501.49446*100)</f>
        <v>0.037921353341208185</v>
      </c>
    </row>
    <row r="58" spans="1:7" s="16" customFormat="1" ht="15.75">
      <c r="A58" s="39" t="s">
        <v>143</v>
      </c>
      <c r="B58" s="24">
        <f>IF(2417.81539="","-",2417.81539)</f>
        <v>2417.81539</v>
      </c>
      <c r="C58" s="24">
        <f>IF(OR(1738.97098="",2417.81539=""),"-",2417.81539/1738.97098*100)</f>
        <v>139.03713275307217</v>
      </c>
      <c r="D58" s="24">
        <f>IF(1738.97098="","-",1738.97098/599501.49446*100)</f>
        <v>0.2900694987535228</v>
      </c>
      <c r="E58" s="24">
        <f>IF(2417.81539="","-",2417.81539/801882.3303*100)</f>
        <v>0.30151747939070406</v>
      </c>
      <c r="F58" s="24">
        <f>IF(OR(494274.03793="",1459.37337="",1738.97098=""),"-",(1738.97098-1459.37337)/494274.03793*100)</f>
        <v>0.05656732673456687</v>
      </c>
      <c r="G58" s="24">
        <f>IF(OR(599501.49446="",2417.81539="",1738.97098=""),"-",(2417.81539-1738.97098)/599501.49446*100)</f>
        <v>0.11323481530458371</v>
      </c>
    </row>
    <row r="59" spans="1:7" s="16" customFormat="1" ht="15.75">
      <c r="A59" s="39" t="s">
        <v>138</v>
      </c>
      <c r="B59" s="24">
        <f>IF(2098.92917="","-",2098.92917)</f>
        <v>2098.92917</v>
      </c>
      <c r="C59" s="24" t="s">
        <v>202</v>
      </c>
      <c r="D59" s="24">
        <f>IF(1083.35715="","-",1083.35715/599501.49446*100)</f>
        <v>0.18070966628295604</v>
      </c>
      <c r="E59" s="24">
        <f>IF(2098.92917="","-",2098.92917/801882.3303*100)</f>
        <v>0.26175027066811024</v>
      </c>
      <c r="F59" s="24">
        <f>IF(OR(494274.03793="",1799.28745="",1083.35715=""),"-",(1083.35715-1799.28745)/494274.03793*100)</f>
        <v>-0.14484481179676917</v>
      </c>
      <c r="G59" s="24">
        <f>IF(OR(599501.49446="",2098.92917="",1083.35715=""),"-",(2098.92917-1083.35715)/599501.49446*100)</f>
        <v>0.16940275034923385</v>
      </c>
    </row>
    <row r="60" spans="1:7" s="16" customFormat="1" ht="15.75">
      <c r="A60" s="39" t="s">
        <v>148</v>
      </c>
      <c r="B60" s="24">
        <f>IF(1867.77357="","-",1867.77357)</f>
        <v>1867.77357</v>
      </c>
      <c r="C60" s="24">
        <f>IF(OR(1417.39577="",1867.77357=""),"-",1867.77357/1417.39577*100)</f>
        <v>131.77502074808646</v>
      </c>
      <c r="D60" s="24">
        <f>IF(1417.39577="","-",1417.39577/599501.49446*100)</f>
        <v>0.2364290636634221</v>
      </c>
      <c r="E60" s="24">
        <f>IF(1867.77357="","-",1867.77357/801882.3303*100)</f>
        <v>0.2329236472016074</v>
      </c>
      <c r="F60" s="24">
        <f>IF(OR(494274.03793="",897.81957="",1417.39577=""),"-",(1417.39577-897.81957)/494274.03793*100)</f>
        <v>0.1051190554486666</v>
      </c>
      <c r="G60" s="24">
        <f>IF(OR(599501.49446="",1867.77357="",1417.39577=""),"-",(1867.77357-1417.39577)/599501.49446*100)</f>
        <v>0.07512538403355894</v>
      </c>
    </row>
    <row r="61" spans="1:7" s="16" customFormat="1" ht="15.75">
      <c r="A61" s="39" t="s">
        <v>155</v>
      </c>
      <c r="B61" s="24">
        <f>IF(1627.92402="","-",1627.92402)</f>
        <v>1627.92402</v>
      </c>
      <c r="C61" s="24" t="s">
        <v>202</v>
      </c>
      <c r="D61" s="24">
        <f>IF(876.20542="","-",876.20542/599501.49446*100)</f>
        <v>0.14615566901784635</v>
      </c>
      <c r="E61" s="24">
        <f>IF(1627.92402="","-",1627.92402/801882.3303*100)</f>
        <v>0.20301283099615894</v>
      </c>
      <c r="F61" s="24">
        <f>IF(OR(494274.03793="",776.89249="",876.20542=""),"-",(876.20542-776.89249)/494274.03793*100)</f>
        <v>0.0200926859148659</v>
      </c>
      <c r="G61" s="24">
        <f>IF(OR(599501.49446="",1627.92402="",876.20542=""),"-",(1627.92402-876.20542)/599501.49446*100)</f>
        <v>0.12539061319223388</v>
      </c>
    </row>
    <row r="62" spans="1:7" s="16" customFormat="1" ht="15.75">
      <c r="A62" s="39" t="s">
        <v>159</v>
      </c>
      <c r="B62" s="24">
        <f>IF(1571.41992="","-",1571.41992)</f>
        <v>1571.41992</v>
      </c>
      <c r="C62" s="24" t="s">
        <v>200</v>
      </c>
      <c r="D62" s="24">
        <f>IF(905.3933="","-",905.3933/599501.49446*100)</f>
        <v>0.15102436080089035</v>
      </c>
      <c r="E62" s="24">
        <f>IF(1571.41992="","-",1571.41992/801882.3303*100)</f>
        <v>0.19596639813875194</v>
      </c>
      <c r="F62" s="24">
        <f>IF(OR(494274.03793="",865.82487="",905.3933=""),"-",(905.3933-865.82487)/494274.03793*100)</f>
        <v>0.008005362807585632</v>
      </c>
      <c r="G62" s="24">
        <f>IF(OR(599501.49446="",1571.41992="",905.3933=""),"-",(1571.41992-905.3933)/599501.49446*100)</f>
        <v>0.11109674056774829</v>
      </c>
    </row>
    <row r="63" spans="1:7" s="16" customFormat="1" ht="15.75">
      <c r="A63" s="39" t="s">
        <v>161</v>
      </c>
      <c r="B63" s="24">
        <f>IF(1523.74846="","-",1523.74846)</f>
        <v>1523.74846</v>
      </c>
      <c r="C63" s="24" t="s">
        <v>199</v>
      </c>
      <c r="D63" s="24">
        <f>IF(833.06585="","-",833.06585/599501.49446*100)</f>
        <v>0.13895976201867233</v>
      </c>
      <c r="E63" s="24">
        <f>IF(1523.74846="","-",1523.74846/801882.3303*100)</f>
        <v>0.19002145357535632</v>
      </c>
      <c r="F63" s="24">
        <f>IF(OR(494274.03793="",550.03101="",833.06585=""),"-",(833.06585-550.03101)/494274.03793*100)</f>
        <v>0.05726273651461415</v>
      </c>
      <c r="G63" s="24">
        <f>IF(OR(599501.49446="",1523.74846="",833.06585=""),"-",(1523.74846-833.06585)/599501.49446*100)</f>
        <v>0.11520948928111203</v>
      </c>
    </row>
    <row r="64" spans="1:7" s="16" customFormat="1" ht="15.75">
      <c r="A64" s="39" t="s">
        <v>137</v>
      </c>
      <c r="B64" s="24">
        <f>IF(1516.90151="","-",1516.90151)</f>
        <v>1516.90151</v>
      </c>
      <c r="C64" s="24">
        <f>IF(OR(1333.09017="",1516.90151=""),"-",1516.90151/1333.09017*100)</f>
        <v>113.78836511861759</v>
      </c>
      <c r="D64" s="24">
        <f>IF(1333.09017="","-",1333.09017/599501.49446*100)</f>
        <v>0.2223664465091582</v>
      </c>
      <c r="E64" s="24">
        <f>IF(1516.90151="","-",1516.90151/801882.3303*100)</f>
        <v>0.18916759388282034</v>
      </c>
      <c r="F64" s="24">
        <f>IF(OR(494274.03793="",654.55039="",1333.09017=""),"-",(1333.09017-654.55039)/494274.03793*100)</f>
        <v>0.13728007702805867</v>
      </c>
      <c r="G64" s="24">
        <f>IF(OR(599501.49446="",1516.90151="",1333.09017=""),"-",(1516.90151-1333.09017)/599501.49446*100)</f>
        <v>0.030660697545978225</v>
      </c>
    </row>
    <row r="65" spans="1:7" s="16" customFormat="1" ht="15.75">
      <c r="A65" s="39" t="s">
        <v>162</v>
      </c>
      <c r="B65" s="24">
        <f>IF(1494.59671="","-",1494.59671)</f>
        <v>1494.59671</v>
      </c>
      <c r="C65" s="24" t="s">
        <v>115</v>
      </c>
      <c r="D65" s="24">
        <f>IF(613.37395="","-",613.37395/599501.49446*100)</f>
        <v>0.10231399849177952</v>
      </c>
      <c r="E65" s="24">
        <f>IF(1494.59671="","-",1494.59671/801882.3303*100)</f>
        <v>0.18638603863996378</v>
      </c>
      <c r="F65" s="24">
        <f>IF(OR(494274.03793="",631.46836="",613.37395=""),"-",(613.37395-631.46836)/494274.03793*100)</f>
        <v>-0.003660805264176649</v>
      </c>
      <c r="G65" s="24">
        <f>IF(OR(599501.49446="",1494.59671="",613.37395=""),"-",(1494.59671-613.37395)/599501.49446*100)</f>
        <v>0.14699258769884468</v>
      </c>
    </row>
    <row r="66" spans="1:7" s="16" customFormat="1" ht="15.75">
      <c r="A66" s="39" t="s">
        <v>139</v>
      </c>
      <c r="B66" s="24">
        <f>IF(1302.19215="","-",1302.19215)</f>
        <v>1302.19215</v>
      </c>
      <c r="C66" s="24">
        <f>IF(OR(1001.77848="",1302.19215=""),"-",1302.19215/1001.77848*100)</f>
        <v>129.98803388150245</v>
      </c>
      <c r="D66" s="24">
        <f>IF(1001.77848="","-",1001.77848/599501.49446*100)</f>
        <v>0.1671019153842728</v>
      </c>
      <c r="E66" s="24">
        <f>IF(1302.19215="","-",1302.19215/801882.3303*100)</f>
        <v>0.16239192469957833</v>
      </c>
      <c r="F66" s="24">
        <f>IF(OR(494274.03793="",461.24891="",1001.77848=""),"-",(1001.77848-461.24891)/494274.03793*100)</f>
        <v>0.10935827668872034</v>
      </c>
      <c r="G66" s="24">
        <f>IF(OR(599501.49446="",1302.19215="",1001.77848=""),"-",(1302.19215-1001.77848)/599501.49446*100)</f>
        <v>0.050110579002075266</v>
      </c>
    </row>
    <row r="67" spans="1:7" s="16" customFormat="1" ht="15.75">
      <c r="A67" s="39" t="s">
        <v>151</v>
      </c>
      <c r="B67" s="24">
        <f>IF(1020.25417="","-",1020.25417)</f>
        <v>1020.25417</v>
      </c>
      <c r="C67" s="24" t="s">
        <v>212</v>
      </c>
      <c r="D67" s="24">
        <f>IF(448.24582="","-",448.24582/599501.49446*100)</f>
        <v>0.07476975856478167</v>
      </c>
      <c r="E67" s="24">
        <f>IF(1020.25417="","-",1020.25417/801882.3303*100)</f>
        <v>0.12723240448736448</v>
      </c>
      <c r="F67" s="24">
        <f>IF(OR(494274.03793="",454.73489="",448.24582=""),"-",(448.24582-454.73489)/494274.03793*100)</f>
        <v>-0.0013128486430677188</v>
      </c>
      <c r="G67" s="24">
        <f>IF(OR(599501.49446="",1020.25417="",448.24582=""),"-",(1020.25417-448.24582)/599501.49446*100)</f>
        <v>0.09541399901183494</v>
      </c>
    </row>
    <row r="68" spans="1:7" s="16" customFormat="1" ht="15.75">
      <c r="A68" s="39" t="s">
        <v>163</v>
      </c>
      <c r="B68" s="24">
        <f>IF(903.65841="","-",903.65841)</f>
        <v>903.65841</v>
      </c>
      <c r="C68" s="24" t="s">
        <v>212</v>
      </c>
      <c r="D68" s="24">
        <f>IF(400.42371="","-",400.42371/599501.49446*100)</f>
        <v>0.06679277928417528</v>
      </c>
      <c r="E68" s="24">
        <f>IF(903.65841="","-",903.65841/801882.3303*100)</f>
        <v>0.11269214644771179</v>
      </c>
      <c r="F68" s="24">
        <f>IF(OR(494274.03793="",449.931="",400.42371=""),"-",(400.42371-449.931)/494274.03793*100)</f>
        <v>-0.010016162331190712</v>
      </c>
      <c r="G68" s="24">
        <f>IF(OR(599501.49446="",903.65841="",400.42371=""),"-",(903.65841-400.42371)/599501.49446*100)</f>
        <v>0.08394219274687344</v>
      </c>
    </row>
    <row r="69" spans="1:7" s="16" customFormat="1" ht="15.75">
      <c r="A69" s="39" t="s">
        <v>114</v>
      </c>
      <c r="B69" s="24">
        <f>IF(704.34642="","-",704.34642)</f>
        <v>704.34642</v>
      </c>
      <c r="C69" s="24" t="s">
        <v>238</v>
      </c>
      <c r="D69" s="24">
        <f>IF(114.11799="","-",114.11799/599501.49446*100)</f>
        <v>0.01903548048746594</v>
      </c>
      <c r="E69" s="24">
        <f>IF(704.34642="","-",704.34642/801882.3303*100)</f>
        <v>0.08783663056105627</v>
      </c>
      <c r="F69" s="24">
        <f>IF(OR(494274.03793="",557.24143="",114.11799=""),"-",(114.11799-557.24143)/494274.03793*100)</f>
        <v>-0.08965136867309142</v>
      </c>
      <c r="G69" s="24">
        <f>IF(OR(599501.49446="",704.34642="",114.11799=""),"-",(704.34642-114.11799)/599501.49446*100)</f>
        <v>0.09845320411280163</v>
      </c>
    </row>
    <row r="70" spans="1:7" s="16" customFormat="1" ht="15.75">
      <c r="A70" s="39" t="s">
        <v>145</v>
      </c>
      <c r="B70" s="24">
        <f>IF(702.84617="","-",702.84617)</f>
        <v>702.84617</v>
      </c>
      <c r="C70" s="24" t="s">
        <v>182</v>
      </c>
      <c r="D70" s="24">
        <f>IF(326.21748="","-",326.21748/599501.49446*100)</f>
        <v>0.054414790123891166</v>
      </c>
      <c r="E70" s="24">
        <f>IF(702.84617="","-",702.84617/801882.3303*100)</f>
        <v>0.08764953951997563</v>
      </c>
      <c r="F70" s="24">
        <f>IF(OR(494274.03793="",502.44347="",326.21748=""),"-",(326.21748-502.44347)/494274.03793*100)</f>
        <v>-0.03565349916779514</v>
      </c>
      <c r="G70" s="24">
        <f>IF(OR(599501.49446="",702.84617="",326.21748=""),"-",(702.84617-326.21748)/599501.49446*100)</f>
        <v>0.06282364489170252</v>
      </c>
    </row>
    <row r="71" spans="1:7" s="16" customFormat="1" ht="15.75">
      <c r="A71" s="39" t="s">
        <v>142</v>
      </c>
      <c r="B71" s="24">
        <f>IF(702.05876="","-",702.05876)</f>
        <v>702.05876</v>
      </c>
      <c r="C71" s="24">
        <f>IF(OR(923.14829="",702.05876=""),"-",702.05876/923.14829*100)</f>
        <v>76.05048588672574</v>
      </c>
      <c r="D71" s="24">
        <f>IF(923.14829="","-",923.14829/599501.49446*100)</f>
        <v>0.15398598644554246</v>
      </c>
      <c r="E71" s="24">
        <f>IF(702.05876="","-",702.05876/801882.3303*100)</f>
        <v>0.0875513443147383</v>
      </c>
      <c r="F71" s="24">
        <f>IF(OR(494274.03793="",652.96674="",923.14829=""),"-",(923.14829-652.96674)/494274.03793*100)</f>
        <v>0.054662298495690695</v>
      </c>
      <c r="G71" s="24">
        <f>IF(OR(599501.49446="",702.05876="",923.14829=""),"-",(702.05876-923.14829)/599501.49446*100)</f>
        <v>-0.03687889555623978</v>
      </c>
    </row>
    <row r="72" spans="1:7" s="16" customFormat="1" ht="15.75">
      <c r="A72" s="39" t="s">
        <v>134</v>
      </c>
      <c r="B72" s="24">
        <f>IF(649.89109="","-",649.89109)</f>
        <v>649.89109</v>
      </c>
      <c r="C72" s="24" t="s">
        <v>199</v>
      </c>
      <c r="D72" s="24">
        <f>IF(366.78725="","-",366.78725/599501.49446*100)</f>
        <v>0.061182040977292816</v>
      </c>
      <c r="E72" s="24">
        <f>IF(649.89109="","-",649.89109/801882.3303*100)</f>
        <v>0.0810456927959571</v>
      </c>
      <c r="F72" s="24">
        <f>IF(OR(494274.03793="",97.46044="",366.78725=""),"-",(366.78725-97.46044)/494274.03793*100)</f>
        <v>0.054489370133201806</v>
      </c>
      <c r="G72" s="24">
        <f>IF(OR(599501.49446="",649.89109="",366.78725=""),"-",(649.89109-366.78725)/599501.49446*100)</f>
        <v>0.04722320838499416</v>
      </c>
    </row>
    <row r="73" spans="1:7" s="16" customFormat="1" ht="15.75">
      <c r="A73" s="39" t="s">
        <v>141</v>
      </c>
      <c r="B73" s="24">
        <f>IF(643.74268="","-",643.74268)</f>
        <v>643.74268</v>
      </c>
      <c r="C73" s="24">
        <f>IF(OR(1526.66076="",643.74268=""),"-",643.74268/1526.66076*100)</f>
        <v>42.16671423453629</v>
      </c>
      <c r="D73" s="24">
        <f>IF(1526.66076="","-",1526.66076/599501.49446*100)</f>
        <v>0.2546550382455906</v>
      </c>
      <c r="E73" s="24">
        <f>IF(643.74268="","-",643.74268/801882.3303*100)</f>
        <v>0.08027894563522345</v>
      </c>
      <c r="F73" s="24">
        <f>IF(OR(494274.03793="",194.21351="",1526.66076=""),"-",(1526.66076-194.21351)/494274.03793*100)</f>
        <v>0.26957662101376717</v>
      </c>
      <c r="G73" s="24">
        <f>IF(OR(599501.49446="",643.74268="",1526.66076=""),"-",(643.74268-1526.66076)/599501.49446*100)</f>
        <v>-0.1472753759847233</v>
      </c>
    </row>
    <row r="74" spans="1:7" s="16" customFormat="1" ht="15.75">
      <c r="A74" s="39" t="s">
        <v>164</v>
      </c>
      <c r="B74" s="24">
        <f>IF(580.63336="","-",580.63336)</f>
        <v>580.63336</v>
      </c>
      <c r="C74" s="24">
        <f>IF(OR(567.92993="",580.63336=""),"-",580.63336/567.92993*100)</f>
        <v>102.23679530325158</v>
      </c>
      <c r="D74" s="24">
        <f>IF(567.92993="","-",567.92993/599501.49446*100)</f>
        <v>0.09473369712139951</v>
      </c>
      <c r="E74" s="24">
        <f>IF(580.63336="","-",580.63336/801882.3303*100)</f>
        <v>0.07240879840596733</v>
      </c>
      <c r="F74" s="24">
        <f>IF(OR(494274.03793="",358.27335="",567.92993=""),"-",(567.92993-358.27335)/494274.03793*100)</f>
        <v>0.04241707310342122</v>
      </c>
      <c r="G74" s="24">
        <f>IF(OR(599501.49446="",580.63336="",567.92993=""),"-",(580.63336-567.92993)/599501.49446*100)</f>
        <v>0.002118998887808048</v>
      </c>
    </row>
    <row r="75" spans="1:7" s="16" customFormat="1" ht="15.75">
      <c r="A75" s="39" t="s">
        <v>160</v>
      </c>
      <c r="B75" s="24">
        <f>IF(524.69003="","-",524.69003)</f>
        <v>524.69003</v>
      </c>
      <c r="C75" s="24">
        <f>IF(OR(505.20108="",524.69003=""),"-",524.69003/505.20108*100)</f>
        <v>103.85766198282869</v>
      </c>
      <c r="D75" s="24">
        <f>IF(505.20108="","-",505.20108/599501.49446*100)</f>
        <v>0.08427019526532775</v>
      </c>
      <c r="E75" s="24">
        <f>IF(524.69003="","-",524.69003/801882.3303*100)</f>
        <v>0.06543229725534706</v>
      </c>
      <c r="F75" s="24">
        <f>IF(OR(494274.03793="",1159.38797="",505.20108=""),"-",(505.20108-1159.38797)/494274.03793*100)</f>
        <v>-0.13235307537893526</v>
      </c>
      <c r="G75" s="24">
        <f>IF(OR(599501.49446="",524.69003="",505.20108=""),"-",(524.69003-505.20108)/599501.49446*100)</f>
        <v>0.003250859285606057</v>
      </c>
    </row>
    <row r="76" spans="1:7" s="16" customFormat="1" ht="15.75">
      <c r="A76" s="39" t="s">
        <v>152</v>
      </c>
      <c r="B76" s="24">
        <f>IF(482.92438="","-",482.92438)</f>
        <v>482.92438</v>
      </c>
      <c r="C76" s="24" t="s">
        <v>25</v>
      </c>
      <c r="D76" s="24">
        <f>IF(241.59269="","-",241.59269/599501.49446*100)</f>
        <v>0.04029893040010088</v>
      </c>
      <c r="E76" s="24">
        <f>IF(482.92438="","-",482.92438/801882.3303*100)</f>
        <v>0.060223846037276874</v>
      </c>
      <c r="F76" s="24">
        <f>IF(OR(494274.03793="",191.06097="",241.59269=""),"-",(241.59269-191.06097)/494274.03793*100)</f>
        <v>0.010223421851494535</v>
      </c>
      <c r="G76" s="24">
        <f>IF(OR(599501.49446="",482.92438="",241.59269=""),"-",(482.92438-241.59269)/599501.49446*100)</f>
        <v>0.04025539422839623</v>
      </c>
    </row>
    <row r="77" spans="1:7" s="16" customFormat="1" ht="15.75">
      <c r="A77" s="39" t="s">
        <v>166</v>
      </c>
      <c r="B77" s="24">
        <f>IF(404.45634="","-",404.45634)</f>
        <v>404.45634</v>
      </c>
      <c r="C77" s="24">
        <f>IF(OR(473.19752="",404.45634=""),"-",404.45634/473.19752*100)</f>
        <v>85.47304728055211</v>
      </c>
      <c r="D77" s="24">
        <f>IF(473.19752="","-",473.19752/599501.49446*100)</f>
        <v>0.078931833260271</v>
      </c>
      <c r="E77" s="24">
        <f>IF(404.45634="","-",404.45634/801882.3303*100)</f>
        <v>0.050438365420607895</v>
      </c>
      <c r="F77" s="24">
        <f>IF(OR(494274.03793="",185.22053="",473.19752=""),"-",(473.19752-185.22053)/494274.03793*100)</f>
        <v>0.058262617070893745</v>
      </c>
      <c r="G77" s="24">
        <f>IF(OR(599501.49446="",404.45634="",473.19752=""),"-",(404.45634-473.19752)/599501.49446*100)</f>
        <v>-0.011466390098313016</v>
      </c>
    </row>
    <row r="78" spans="1:7" s="16" customFormat="1" ht="15.75">
      <c r="A78" s="39" t="s">
        <v>144</v>
      </c>
      <c r="B78" s="24">
        <f>IF(386.71118="","-",386.71118)</f>
        <v>386.71118</v>
      </c>
      <c r="C78" s="24" t="s">
        <v>218</v>
      </c>
      <c r="D78" s="24">
        <f>IF(85.78572="","-",85.78572/599501.49446*100)</f>
        <v>0.014309508949143047</v>
      </c>
      <c r="E78" s="24">
        <f>IF(386.71118="","-",386.71118/801882.3303*100)</f>
        <v>0.04822542727127105</v>
      </c>
      <c r="F78" s="24">
        <f>IF(OR(494274.03793="",52.84897="",85.78572=""),"-",(85.78572-52.84897)/494274.03793*100)</f>
        <v>0.006663661748842363</v>
      </c>
      <c r="G78" s="24">
        <f>IF(OR(599501.49446="",386.71118="",85.78572=""),"-",(386.71118-85.78572)/599501.49446*100)</f>
        <v>0.050195948263825126</v>
      </c>
    </row>
    <row r="79" spans="1:7" s="16" customFormat="1" ht="15.75">
      <c r="A79" s="39" t="s">
        <v>191</v>
      </c>
      <c r="B79" s="24">
        <f>IF(358.05718="","-",358.05718)</f>
        <v>358.05718</v>
      </c>
      <c r="C79" s="24" t="s">
        <v>239</v>
      </c>
      <c r="D79" s="24">
        <f>IF(0.44316="","-",0.44316/599501.49446*100)</f>
        <v>7.392141705988168E-05</v>
      </c>
      <c r="E79" s="24">
        <f>IF(358.05718="","-",358.05718/801882.3303*100)</f>
        <v>0.04465208503422737</v>
      </c>
      <c r="F79" s="24">
        <f>IF(OR(494274.03793="",5.24822="",0.44316=""),"-",(0.44316-5.24822)/494274.03793*100)</f>
        <v>-0.0009721449299913466</v>
      </c>
      <c r="G79" s="24">
        <f>IF(OR(599501.49446="",358.05718="",0.44316=""),"-",(358.05718-0.44316)/599501.49446*100)</f>
        <v>0.059651898002709786</v>
      </c>
    </row>
    <row r="80" spans="1:7" s="16" customFormat="1" ht="15.75">
      <c r="A80" s="39" t="s">
        <v>170</v>
      </c>
      <c r="B80" s="24">
        <f>IF(343.83753="","-",343.83753)</f>
        <v>343.83753</v>
      </c>
      <c r="C80" s="24" t="s">
        <v>218</v>
      </c>
      <c r="D80" s="24">
        <f>IF(75.65095="","-",75.65095/599501.49446*100)</f>
        <v>0.012618976049116019</v>
      </c>
      <c r="E80" s="24">
        <f>IF(343.83753="","-",343.83753/801882.3303*100)</f>
        <v>0.04287880116667038</v>
      </c>
      <c r="F80" s="24">
        <f>IF(OR(494274.03793="",133.27723="",75.65095=""),"-",(75.65095-133.27723)/494274.03793*100)</f>
        <v>-0.011658771365240338</v>
      </c>
      <c r="G80" s="24">
        <f>IF(OR(599501.49446="",343.83753="",75.65095=""),"-",(343.83753-75.65095)/599501.49446*100)</f>
        <v>0.04473493101824019</v>
      </c>
    </row>
    <row r="81" spans="1:7" s="16" customFormat="1" ht="15.75">
      <c r="A81" s="39" t="s">
        <v>165</v>
      </c>
      <c r="B81" s="24">
        <f>IF(336.37268="","-",336.37268)</f>
        <v>336.37268</v>
      </c>
      <c r="C81" s="24" t="s">
        <v>201</v>
      </c>
      <c r="D81" s="24">
        <f>IF(215.70495="","-",215.70495/599501.49446*100)</f>
        <v>0.03598071931318468</v>
      </c>
      <c r="E81" s="24">
        <f>IF(336.37268="","-",336.37268/801882.3303*100)</f>
        <v>0.04194788528064415</v>
      </c>
      <c r="F81" s="24">
        <f>IF(OR(494274.03793="",86.91661="",215.70495=""),"-",(215.70495-86.91661)/494274.03793*100)</f>
        <v>0.02605606002276803</v>
      </c>
      <c r="G81" s="24">
        <f>IF(OR(599501.49446="",336.37268="",215.70495=""),"-",(336.37268-215.70495)/599501.49446*100)</f>
        <v>0.020128011542104876</v>
      </c>
    </row>
    <row r="82" spans="1:7" s="16" customFormat="1" ht="15.75">
      <c r="A82" s="39" t="s">
        <v>171</v>
      </c>
      <c r="B82" s="24">
        <f>IF(320.33071="","-",320.33071)</f>
        <v>320.33071</v>
      </c>
      <c r="C82" s="24">
        <f>IF(OR(257.76943="",320.33071=""),"-",320.33071/257.76943*100)</f>
        <v>124.27024802747168</v>
      </c>
      <c r="D82" s="24">
        <f>IF(257.76943="","-",257.76943/599501.49446*100)</f>
        <v>0.04299729565014436</v>
      </c>
      <c r="E82" s="24">
        <f>IF(320.33071="","-",320.33071/801882.3303*100)</f>
        <v>0.03994734612498045</v>
      </c>
      <c r="F82" s="24">
        <f>IF(OR(494274.03793="",112.05527="",257.76943=""),"-",(257.76943-112.05527)/494274.03793*100)</f>
        <v>0.02948043975974241</v>
      </c>
      <c r="G82" s="24">
        <f>IF(OR(599501.49446="",320.33071="",257.76943=""),"-",(320.33071-257.76943)/599501.49446*100)</f>
        <v>0.010435550299395331</v>
      </c>
    </row>
    <row r="83" spans="1:7" s="16" customFormat="1" ht="15.75">
      <c r="A83" s="39" t="s">
        <v>243</v>
      </c>
      <c r="B83" s="24">
        <f>IF(294.5253="","-",294.5253)</f>
        <v>294.5253</v>
      </c>
      <c r="C83" s="24" t="s">
        <v>202</v>
      </c>
      <c r="D83" s="24">
        <f>IF(158.76093="","-",158.76093/599501.49446*100)</f>
        <v>0.02648215750371126</v>
      </c>
      <c r="E83" s="24">
        <f>IF(294.5253="","-",294.5253/801882.3303*100)</f>
        <v>0.03672924179409369</v>
      </c>
      <c r="F83" s="24">
        <f>IF(OR(494274.03793="",184.06919="",158.76093=""),"-",(158.76093-184.06919)/494274.03793*100)</f>
        <v>-0.005120289163070344</v>
      </c>
      <c r="G83" s="24">
        <f>IF(OR(599501.49446="",294.5253="",158.76093=""),"-",(294.5253-158.76093)/599501.49446*100)</f>
        <v>0.022646210435603595</v>
      </c>
    </row>
    <row r="84" spans="1:7" s="16" customFormat="1" ht="15.75">
      <c r="A84" s="39" t="s">
        <v>167</v>
      </c>
      <c r="B84" s="24">
        <f>IF(280.20072="","-",280.20072)</f>
        <v>280.20072</v>
      </c>
      <c r="C84" s="24" t="s">
        <v>232</v>
      </c>
      <c r="D84" s="24">
        <f>IF(88.28459="","-",88.28459/599501.49446*100)</f>
        <v>0.014726333598137598</v>
      </c>
      <c r="E84" s="24">
        <f>IF(280.20072="","-",280.20072/801882.3303*100)</f>
        <v>0.03494287246548647</v>
      </c>
      <c r="F84" s="24">
        <f>IF(OR(494274.03793="",223.52201="",88.28459=""),"-",(88.28459-223.52201)/494274.03793*100)</f>
        <v>-0.027360818012285033</v>
      </c>
      <c r="G84" s="24">
        <f>IF(OR(599501.49446="",280.20072="",88.28459=""),"-",(280.20072-88.28459)/599501.49446*100)</f>
        <v>0.03201261911329648</v>
      </c>
    </row>
    <row r="85" spans="1:7" s="16" customFormat="1" ht="15.75">
      <c r="A85" s="39" t="s">
        <v>172</v>
      </c>
      <c r="B85" s="24">
        <f>IF(263.20349="","-",263.20349)</f>
        <v>263.20349</v>
      </c>
      <c r="C85" s="24">
        <f>IF(OR(233.75986="",263.20349=""),"-",263.20349/233.75986*100)</f>
        <v>112.59567403916138</v>
      </c>
      <c r="D85" s="24">
        <f>IF(233.75986="","-",233.75986/599501.49446*100)</f>
        <v>0.038992373190088345</v>
      </c>
      <c r="E85" s="24">
        <f>IF(263.20349="","-",263.20349/801882.3303*100)</f>
        <v>0.03282320610575499</v>
      </c>
      <c r="F85" s="24">
        <f>IF(OR(494274.03793="",173.8462="",233.75986=""),"-",(233.75986-173.8462)/494274.03793*100)</f>
        <v>0.012121547037128639</v>
      </c>
      <c r="G85" s="24">
        <f>IF(OR(599501.49446="",263.20349="",233.75986=""),"-",(263.20349-233.75986)/599501.49446*100)</f>
        <v>0.004911352227156879</v>
      </c>
    </row>
    <row r="86" spans="1:7" s="16" customFormat="1" ht="15.75">
      <c r="A86" s="39" t="s">
        <v>113</v>
      </c>
      <c r="B86" s="24">
        <f>IF(253.53378="","-",253.53378)</f>
        <v>253.53378</v>
      </c>
      <c r="C86" s="24" t="s">
        <v>201</v>
      </c>
      <c r="D86" s="24">
        <f>IF(153.69763="","-",153.69763/599501.49446*100)</f>
        <v>0.025637572453166762</v>
      </c>
      <c r="E86" s="24">
        <f>IF(253.53378="","-",253.53378/801882.3303*100)</f>
        <v>0.031617329677927686</v>
      </c>
      <c r="F86" s="24">
        <f>IF(OR(494274.03793="",545.91118="",153.69763=""),"-",(153.69763-545.91118)/494274.03793*100)</f>
        <v>-0.07935143663271789</v>
      </c>
      <c r="G86" s="24">
        <f>IF(OR(599501.49446="",253.53378="",153.69763=""),"-",(253.53378-153.69763)/599501.49446*100)</f>
        <v>0.01665319451620838</v>
      </c>
    </row>
    <row r="87" spans="1:7" s="16" customFormat="1" ht="15.75">
      <c r="A87" s="39" t="s">
        <v>168</v>
      </c>
      <c r="B87" s="24">
        <f>IF(216.7822="","-",216.7822)</f>
        <v>216.7822</v>
      </c>
      <c r="C87" s="24" t="s">
        <v>202</v>
      </c>
      <c r="D87" s="24">
        <f>IF(116.45473="","-",116.45473/599501.49446*100)</f>
        <v>0.01942526100037439</v>
      </c>
      <c r="E87" s="24">
        <f>IF(216.7822="","-",216.7822/801882.3303*100)</f>
        <v>0.027034165962841143</v>
      </c>
      <c r="F87" s="24">
        <f>IF(OR(494274.03793="",189.21413="",116.45473=""),"-",(116.45473-189.21413)/494274.03793*100)</f>
        <v>-0.014720457563321247</v>
      </c>
      <c r="G87" s="24">
        <f>IF(OR(599501.49446="",216.7822="",116.45473=""),"-",(216.7822-116.45473)/599501.49446*100)</f>
        <v>0.016735149274376672</v>
      </c>
    </row>
    <row r="88" spans="1:7" ht="15.75">
      <c r="A88" s="39" t="s">
        <v>181</v>
      </c>
      <c r="B88" s="24">
        <f>IF(195.92629="","-",195.92629)</f>
        <v>195.92629</v>
      </c>
      <c r="C88" s="24" t="s">
        <v>216</v>
      </c>
      <c r="D88" s="24">
        <f>IF(53.12264="","-",53.12264/599501.49446*100)</f>
        <v>0.008861135541930572</v>
      </c>
      <c r="E88" s="24">
        <f>IF(195.92629="","-",195.92629/801882.3303*100)</f>
        <v>0.02443329683130692</v>
      </c>
      <c r="F88" s="24">
        <f>IF(OR(494274.03793="",16.08228="",53.12264=""),"-",(53.12264-16.08228)/494274.03793*100)</f>
        <v>0.007493891476704612</v>
      </c>
      <c r="G88" s="24">
        <f>IF(OR(599501.49446="",195.92629="",53.12264=""),"-",(195.92629-53.12264)/599501.49446*100)</f>
        <v>0.0238203993350559</v>
      </c>
    </row>
    <row r="89" spans="1:7" ht="15.75">
      <c r="A89" s="39" t="s">
        <v>173</v>
      </c>
      <c r="B89" s="24">
        <f>IF(192.29905="","-",192.29905)</f>
        <v>192.29905</v>
      </c>
      <c r="C89" s="24" t="s">
        <v>115</v>
      </c>
      <c r="D89" s="24">
        <f>IF(80.05636="","-",80.05636/599501.49446*100)</f>
        <v>0.01335382159007137</v>
      </c>
      <c r="E89" s="24">
        <f>IF(192.29905="","-",192.29905/801882.3303*100)</f>
        <v>0.02398095614952098</v>
      </c>
      <c r="F89" s="24">
        <f>IF(OR(494274.03793="",28.72018="",80.05636=""),"-",(80.05636-28.72018)/494274.03793*100)</f>
        <v>0.010386177719346515</v>
      </c>
      <c r="G89" s="24">
        <f>IF(OR(599501.49446="",192.29905="",80.05636=""),"-",(192.29905-80.05636)/599501.49446*100)</f>
        <v>0.018722670591689253</v>
      </c>
    </row>
    <row r="90" spans="1:7" ht="15.75">
      <c r="A90" s="39" t="s">
        <v>190</v>
      </c>
      <c r="B90" s="24">
        <f>IF(176.97313="","-",176.97313)</f>
        <v>176.97313</v>
      </c>
      <c r="C90" s="24" t="str">
        <f>IF(OR(""="",176.97313=""),"-",176.97313/""*100)</f>
        <v>-</v>
      </c>
      <c r="D90" s="24" t="str">
        <f>IF(""="","-",""/599501.49446*100)</f>
        <v>-</v>
      </c>
      <c r="E90" s="24">
        <f>IF(176.97313="","-",176.97313/801882.3303*100)</f>
        <v>0.022069713137810486</v>
      </c>
      <c r="F90" s="24" t="str">
        <f>IF(OR(494274.03793="",""="",""=""),"-",(""-"")/494274.03793*100)</f>
        <v>-</v>
      </c>
      <c r="G90" s="24" t="str">
        <f>IF(OR(599501.49446="",176.97313="",""=""),"-",(176.97313-"")/599501.49446*100)</f>
        <v>-</v>
      </c>
    </row>
    <row r="91" spans="1:7" ht="15.75">
      <c r="A91" s="39" t="s">
        <v>150</v>
      </c>
      <c r="B91" s="24">
        <f>IF(169.98512="","-",169.98512)</f>
        <v>169.98512</v>
      </c>
      <c r="C91" s="24">
        <f>IF(OR(243.86993="",169.98512=""),"-",169.98512/243.86993*100)</f>
        <v>69.70318972904941</v>
      </c>
      <c r="D91" s="24">
        <f>IF(243.86993="","-",243.86993/599501.49446*100)</f>
        <v>0.04067878600030272</v>
      </c>
      <c r="E91" s="24">
        <f>IF(169.98512="","-",169.98512/801882.3303*100)</f>
        <v>0.021198262335622886</v>
      </c>
      <c r="F91" s="24">
        <f>IF(OR(494274.03793="",331.02169="",243.86993=""),"-",(243.86993-331.02169)/494274.03793*100)</f>
        <v>-0.017632275481226582</v>
      </c>
      <c r="G91" s="24">
        <f>IF(OR(599501.49446="",169.98512="",243.86993=""),"-",(169.98512-243.86993)/599501.49446*100)</f>
        <v>-0.012324374615037723</v>
      </c>
    </row>
    <row r="92" spans="1:7" ht="15.75">
      <c r="A92" s="39" t="s">
        <v>112</v>
      </c>
      <c r="B92" s="24">
        <f>IF(166.05183="","-",166.05183)</f>
        <v>166.05183</v>
      </c>
      <c r="C92" s="24" t="s">
        <v>176</v>
      </c>
      <c r="D92" s="24">
        <f>IF(59.21034="","-",59.21034/599501.49446*100)</f>
        <v>0.0098765958962844</v>
      </c>
      <c r="E92" s="24">
        <f>IF(166.05183="","-",166.05183/801882.3303*100)</f>
        <v>0.020707755206163067</v>
      </c>
      <c r="F92" s="24">
        <f>IF(OR(494274.03793="",3.53043="",59.21034=""),"-",(59.21034-3.53043)/494274.03793*100)</f>
        <v>0.01126498778555824</v>
      </c>
      <c r="G92" s="24">
        <f>IF(OR(599501.49446="",166.05183="",59.21034=""),"-",(166.05183-59.21034)/599501.49446*100)</f>
        <v>0.017821722045286526</v>
      </c>
    </row>
    <row r="93" spans="1:7" ht="15.75">
      <c r="A93" s="39" t="s">
        <v>157</v>
      </c>
      <c r="B93" s="24">
        <f>IF(165.60193="","-",165.60193)</f>
        <v>165.60193</v>
      </c>
      <c r="C93" s="24">
        <f>IF(OR(126.79723="",165.60193=""),"-",165.60193/126.79723*100)</f>
        <v>130.60374426160573</v>
      </c>
      <c r="D93" s="24">
        <f>IF(126.79723="","-",126.79723/599501.49446*100)</f>
        <v>0.021150444356141666</v>
      </c>
      <c r="E93" s="24">
        <f>IF(165.60193="","-",165.60193/801882.3303*100)</f>
        <v>0.02065164971748973</v>
      </c>
      <c r="F93" s="24">
        <f>IF(OR(494274.03793="",280.31162="",126.79723=""),"-",(126.79723-280.31162)/494274.03793*100)</f>
        <v>-0.03105855825301125</v>
      </c>
      <c r="G93" s="24">
        <f>IF(OR(599501.49446="",165.60193="",126.79723=""),"-",(165.60193-126.79723)/599501.49446*100)</f>
        <v>0.006472827900946817</v>
      </c>
    </row>
    <row r="94" spans="1:7" ht="15.75">
      <c r="A94" s="39" t="s">
        <v>180</v>
      </c>
      <c r="B94" s="24">
        <f>IF(140.55733="","-",140.55733)</f>
        <v>140.55733</v>
      </c>
      <c r="C94" s="24" t="s">
        <v>200</v>
      </c>
      <c r="D94" s="24">
        <f>IF(83.51715="","-",83.51715/599501.49446*100)</f>
        <v>0.013931099550507033</v>
      </c>
      <c r="E94" s="24">
        <f>IF(140.55733="","-",140.55733/801882.3303*100)</f>
        <v>0.017528423396910957</v>
      </c>
      <c r="F94" s="24">
        <f>IF(OR(494274.03793="",60.52466="",83.51715=""),"-",(83.51715-60.52466)/494274.03793*100)</f>
        <v>0.004651769713880105</v>
      </c>
      <c r="G94" s="24">
        <f>IF(OR(599501.49446="",140.55733="",83.51715=""),"-",(140.55733-83.51715)/599501.49446*100)</f>
        <v>0.00951460180284936</v>
      </c>
    </row>
    <row r="95" spans="1:7" ht="15.75">
      <c r="A95" s="39" t="s">
        <v>193</v>
      </c>
      <c r="B95" s="24">
        <f>IF(115.87805="","-",115.87805)</f>
        <v>115.87805</v>
      </c>
      <c r="C95" s="24" t="s">
        <v>212</v>
      </c>
      <c r="D95" s="24">
        <f>IF(49.58243="","-",49.58243/599501.49446*100)</f>
        <v>0.008270609908097276</v>
      </c>
      <c r="E95" s="24">
        <f>IF(115.87805="","-",115.87805/801882.3303*100)</f>
        <v>0.014450754882782831</v>
      </c>
      <c r="F95" s="24">
        <f>IF(OR(494274.03793="",52.29439="",49.58243=""),"-",(49.58243-52.29439)/494274.03793*100)</f>
        <v>-0.0005486753889315284</v>
      </c>
      <c r="G95" s="24">
        <f>IF(OR(599501.49446="",115.87805="",49.58243=""),"-",(115.87805-49.58243)/599501.49446*100)</f>
        <v>0.011058457837493079</v>
      </c>
    </row>
    <row r="96" spans="1:7" ht="15.75">
      <c r="A96" s="39" t="s">
        <v>197</v>
      </c>
      <c r="B96" s="24">
        <f>IF(100.55543="","-",100.55543)</f>
        <v>100.55543</v>
      </c>
      <c r="C96" s="24" t="s">
        <v>240</v>
      </c>
      <c r="D96" s="24">
        <f>IF(18.50144="","-",18.50144/599501.49446*100)</f>
        <v>0.003086137427674829</v>
      </c>
      <c r="E96" s="24">
        <f>IF(100.55543="","-",100.55543/801882.3303*100)</f>
        <v>0.012539923402774097</v>
      </c>
      <c r="F96" s="24">
        <f>IF(OR(494274.03793="",25.11205="",18.50144=""),"-",(18.50144-25.11205)/494274.03793*100)</f>
        <v>-0.0013374382412810863</v>
      </c>
      <c r="G96" s="24">
        <f>IF(OR(599501.49446="",100.55543="",18.50144=""),"-",(100.55543-18.50144)/599501.49446*100)</f>
        <v>0.013687036772762343</v>
      </c>
    </row>
    <row r="97" spans="1:7" ht="15.75">
      <c r="A97" s="39" t="s">
        <v>169</v>
      </c>
      <c r="B97" s="24">
        <f>IF(99.17628="","-",99.17628)</f>
        <v>99.17628</v>
      </c>
      <c r="C97" s="24">
        <f>IF(OR(163.66214="",99.17628=""),"-",99.17628/163.66214*100)</f>
        <v>60.598181106516144</v>
      </c>
      <c r="D97" s="24">
        <f>IF(163.66214="","-",163.66214/599501.49446*100)</f>
        <v>0.027299705090379867</v>
      </c>
      <c r="E97" s="24">
        <f>IF(99.17628="","-",99.17628/801882.3303*100)</f>
        <v>0.0123679343280823</v>
      </c>
      <c r="F97" s="24">
        <f>IF(OR(494274.03793="",153.67603="",163.66214=""),"-",(163.66214-153.67603)/494274.03793*100)</f>
        <v>0.0020203589979804377</v>
      </c>
      <c r="G97" s="24">
        <f>IF(OR(599501.49446="",99.17628="",163.66214=""),"-",(99.17628-163.66214)/599501.49446*100)</f>
        <v>-0.010756580358166668</v>
      </c>
    </row>
    <row r="98" spans="1:7" ht="15.75">
      <c r="A98" s="39" t="s">
        <v>215</v>
      </c>
      <c r="B98" s="24">
        <f>IF(89.93872="","-",89.93872)</f>
        <v>89.93872</v>
      </c>
      <c r="C98" s="24" t="s">
        <v>241</v>
      </c>
      <c r="D98" s="24">
        <f>IF(0.33474="","-",0.33474/599501.49446*100)</f>
        <v>5.5836391250620076E-05</v>
      </c>
      <c r="E98" s="24">
        <f>IF(89.93872="","-",89.93872/801882.3303*100)</f>
        <v>0.011215949847199171</v>
      </c>
      <c r="F98" s="24">
        <f>IF(OR(494274.03793="",2.37073="",0.33474=""),"-",(0.33474-2.37073)/494274.03793*100)</f>
        <v>-0.0004119152218730009</v>
      </c>
      <c r="G98" s="24">
        <f>IF(OR(599501.49446="",89.93872="",0.33474=""),"-",(89.93872-0.33474)/599501.49446*100)</f>
        <v>0.014946414784288512</v>
      </c>
    </row>
    <row r="99" spans="1:7" ht="15.75">
      <c r="A99" s="39" t="s">
        <v>174</v>
      </c>
      <c r="B99" s="24">
        <f>IF(88.01308="","-",88.01308)</f>
        <v>88.01308</v>
      </c>
      <c r="C99" s="24">
        <f>IF(OR(149.09477="",88.01308=""),"-",88.01308/149.09477*100)</f>
        <v>59.031634711264516</v>
      </c>
      <c r="D99" s="24">
        <f>IF(149.09477="","-",149.09477/599501.49446*100)</f>
        <v>0.024869791214498452</v>
      </c>
      <c r="E99" s="24">
        <f>IF(88.01308="","-",88.01308/801882.3303*100)</f>
        <v>0.010975809875630077</v>
      </c>
      <c r="F99" s="24">
        <f>IF(OR(494274.03793="",58.32178="",149.09477=""),"-",(149.09477-58.32178)/494274.03793*100)</f>
        <v>0.018364911574185384</v>
      </c>
      <c r="G99" s="24">
        <f>IF(OR(599501.49446="",88.01308="",149.09477=""),"-",(88.01308-149.09477)/599501.49446*100)</f>
        <v>-0.010188746911301573</v>
      </c>
    </row>
    <row r="100" spans="1:7" ht="15.75">
      <c r="A100" s="39" t="s">
        <v>140</v>
      </c>
      <c r="B100" s="24">
        <f>IF(86.85637="","-",86.85637)</f>
        <v>86.85637</v>
      </c>
      <c r="C100" s="24" t="s">
        <v>211</v>
      </c>
      <c r="D100" s="24">
        <f>IF(29.77109="","-",29.77109/599501.49446*100)</f>
        <v>0.004965974276146929</v>
      </c>
      <c r="E100" s="24">
        <f>IF(86.85637="","-",86.85637/801882.3303*100)</f>
        <v>0.01083156053176846</v>
      </c>
      <c r="F100" s="24">
        <f>IF(OR(494274.03793="",7.19679="",29.77109=""),"-",(29.77109-7.19679)/494274.03793*100)</f>
        <v>0.004567162801942881</v>
      </c>
      <c r="G100" s="24">
        <f>IF(OR(599501.49446="",86.85637="",29.77109=""),"-",(86.85637-29.77109)/599501.49446*100)</f>
        <v>0.009522124719875714</v>
      </c>
    </row>
    <row r="101" spans="1:7" ht="15.75">
      <c r="A101" s="39" t="s">
        <v>204</v>
      </c>
      <c r="B101" s="24">
        <f>IF(49.75963="","-",49.75963)</f>
        <v>49.75963</v>
      </c>
      <c r="C101" s="24" t="s">
        <v>242</v>
      </c>
      <c r="D101" s="24">
        <f>IF(4.71288="","-",4.71288/599501.49446*100)</f>
        <v>0.000786133152886486</v>
      </c>
      <c r="E101" s="24">
        <f>IF(49.75963="","-",49.75963/801882.3303*100)</f>
        <v>0.006205353094809302</v>
      </c>
      <c r="F101" s="24">
        <f>IF(OR(494274.03793="",3.44447="",4.71288=""),"-",(4.71288-3.44447)/494274.03793*100)</f>
        <v>0.0002566208019567548</v>
      </c>
      <c r="G101" s="24">
        <f>IF(OR(599501.49446="",49.75963="",4.71288=""),"-",(49.75963-4.71288)/599501.49446*100)</f>
        <v>0.007514034646498386</v>
      </c>
    </row>
    <row r="102" spans="1:7" ht="15.75">
      <c r="A102" s="63" t="s">
        <v>26</v>
      </c>
      <c r="B102" s="63"/>
      <c r="C102" s="63"/>
      <c r="D102" s="63"/>
      <c r="E102" s="63"/>
      <c r="F102" s="63"/>
      <c r="G102" s="63"/>
    </row>
  </sheetData>
  <sheetProtection/>
  <mergeCells count="10">
    <mergeCell ref="A102:G10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3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42.75390625" style="0" customWidth="1"/>
    <col min="2" max="3" width="13.875" style="0" customWidth="1"/>
    <col min="4" max="4" width="18.375" style="0" customWidth="1"/>
  </cols>
  <sheetData>
    <row r="1" spans="1:4" ht="15.75">
      <c r="A1" s="77" t="s">
        <v>269</v>
      </c>
      <c r="B1" s="77"/>
      <c r="C1" s="77"/>
      <c r="D1" s="77"/>
    </row>
    <row r="2" ht="15.75">
      <c r="A2" s="4"/>
    </row>
    <row r="3" spans="1:5" ht="26.25" customHeight="1">
      <c r="A3" s="79"/>
      <c r="B3" s="83" t="s">
        <v>223</v>
      </c>
      <c r="C3" s="84"/>
      <c r="D3" s="81" t="s">
        <v>276</v>
      </c>
      <c r="E3" s="1"/>
    </row>
    <row r="4" spans="1:5" ht="15.75">
      <c r="A4" s="80"/>
      <c r="B4" s="46">
        <v>2017</v>
      </c>
      <c r="C4" s="45">
        <v>2018</v>
      </c>
      <c r="D4" s="82"/>
      <c r="E4" s="1"/>
    </row>
    <row r="5" spans="1:4" ht="17.25" customHeight="1">
      <c r="A5" s="7" t="s">
        <v>187</v>
      </c>
      <c r="B5" s="43">
        <f>IF(-283437.04997="","-",-283437.04997)</f>
        <v>-283437.04997</v>
      </c>
      <c r="C5" s="43">
        <f>IF(-365627.64557="","-",-365627.64557)</f>
        <v>-365627.64557</v>
      </c>
      <c r="D5" s="55">
        <f>IF(-283437.04997="","-",-365627.64557/-283437.04997*100)</f>
        <v>128.9978305971994</v>
      </c>
    </row>
    <row r="6" spans="1:4" ht="15.75">
      <c r="A6" s="8" t="s">
        <v>29</v>
      </c>
      <c r="B6" s="35"/>
      <c r="C6" s="34"/>
      <c r="D6" s="40"/>
    </row>
    <row r="7" spans="1:4" ht="15.75">
      <c r="A7" s="37" t="s">
        <v>3</v>
      </c>
      <c r="B7" s="23">
        <f>IF(-64153.48966="","-",-64153.48966)</f>
        <v>-64153.48966</v>
      </c>
      <c r="C7" s="23">
        <f>IF(-94227.27328="","-",-94227.27328)</f>
        <v>-94227.27328</v>
      </c>
      <c r="D7" s="56">
        <f>IF(-64153.48966="","-",-94227.27328/-64153.48966*100)</f>
        <v>146.87786086054666</v>
      </c>
    </row>
    <row r="8" spans="1:4" ht="15.75">
      <c r="A8" s="39" t="s">
        <v>6</v>
      </c>
      <c r="B8" s="24">
        <f>IF(-19750.20988="","-",-19750.20988)</f>
        <v>-19750.20988</v>
      </c>
      <c r="C8" s="24">
        <f>IF(-25358.85068="","-",-25358.85068)</f>
        <v>-25358.85068</v>
      </c>
      <c r="D8" s="57">
        <f>IF(OR(-19750.20988="",-25358.85068="",-19750.20988=0),"-",-25358.85068/-19750.20988*100)</f>
        <v>128.39787948623055</v>
      </c>
    </row>
    <row r="9" spans="1:4" ht="15.75">
      <c r="A9" s="39" t="s">
        <v>118</v>
      </c>
      <c r="B9" s="24">
        <f>IF(-11696.02954="","-",-11696.02954)</f>
        <v>-11696.02954</v>
      </c>
      <c r="C9" s="24">
        <f>IF(-16719.21081="","-",-16719.21081)</f>
        <v>-16719.21081</v>
      </c>
      <c r="D9" s="57">
        <f>IF(OR(-11696.02954="",-16719.21081="",-11696.02954=0),"-",-16719.21081/-11696.02954*100)</f>
        <v>142.94774780467938</v>
      </c>
    </row>
    <row r="10" spans="1:4" ht="15.75">
      <c r="A10" s="39" t="s">
        <v>7</v>
      </c>
      <c r="B10" s="24">
        <f>IF(-6711.34086="","-",-6711.34086)</f>
        <v>-6711.34086</v>
      </c>
      <c r="C10" s="24">
        <f>IF(-13851.69632="","-",-13851.69632)</f>
        <v>-13851.69632</v>
      </c>
      <c r="D10" s="57">
        <f>IF(OR(-6711.34086="",-13851.69632="",-6711.34086=0),"-",-13851.69632/-6711.34086*100)</f>
        <v>206.3923828181184</v>
      </c>
    </row>
    <row r="11" spans="1:4" ht="15.75">
      <c r="A11" s="39" t="s">
        <v>188</v>
      </c>
      <c r="B11" s="24">
        <f>IF(-5939.52844="","-",-5939.52844)</f>
        <v>-5939.52844</v>
      </c>
      <c r="C11" s="24">
        <f>IF(-12455.19317="","-",-12455.19317)</f>
        <v>-12455.19317</v>
      </c>
      <c r="D11" s="57">
        <f>IF(OR(-5939.52844="",-12455.19317="",-5939.52844=0),"-",-12455.19317/-5939.52844*100)</f>
        <v>209.70003420002143</v>
      </c>
    </row>
    <row r="12" spans="1:4" ht="15.75">
      <c r="A12" s="39" t="s">
        <v>10</v>
      </c>
      <c r="B12" s="24">
        <f>IF(-3248.84321="","-",-3248.84321)</f>
        <v>-3248.84321</v>
      </c>
      <c r="C12" s="24">
        <f>IF(-7722.74885="","-",-7722.74885)</f>
        <v>-7722.74885</v>
      </c>
      <c r="D12" s="57">
        <f>IF(OR(-3248.84321="",-7722.74885="",-3248.84321=0),"-",-7722.74885/-3248.84321*100)</f>
        <v>237.7076501023267</v>
      </c>
    </row>
    <row r="13" spans="1:4" ht="15.75">
      <c r="A13" s="39" t="s">
        <v>9</v>
      </c>
      <c r="B13" s="24">
        <f>IF(-5223.47255="","-",-5223.47255)</f>
        <v>-5223.47255</v>
      </c>
      <c r="C13" s="24">
        <f>IF(-4916.10852="","-",-4916.10852)</f>
        <v>-4916.10852</v>
      </c>
      <c r="D13" s="57">
        <f>IF(OR(-5223.47255="",-4916.10852="",-5223.47255=0),"-",-4916.10852/-5223.47255*100)</f>
        <v>94.11571465040052</v>
      </c>
    </row>
    <row r="14" spans="1:4" ht="15.75">
      <c r="A14" s="39" t="s">
        <v>5</v>
      </c>
      <c r="B14" s="24">
        <f>IF(-4046.26693="","-",-4046.26693)</f>
        <v>-4046.26693</v>
      </c>
      <c r="C14" s="24">
        <f>IF(-4754.46337="","-",-4754.46337)</f>
        <v>-4754.46337</v>
      </c>
      <c r="D14" s="57">
        <f>IF(OR(-4046.26693="",-4754.46337="",-4046.26693=0),"-",-4754.46337/-4046.26693*100)</f>
        <v>117.50246467303631</v>
      </c>
    </row>
    <row r="15" spans="1:4" ht="15.75">
      <c r="A15" s="39" t="s">
        <v>4</v>
      </c>
      <c r="B15" s="24">
        <f>IF(-9123.83388="","-",-9123.83388)</f>
        <v>-9123.83388</v>
      </c>
      <c r="C15" s="24">
        <f>IF(-4712.21225="","-",-4712.21225)</f>
        <v>-4712.21225</v>
      </c>
      <c r="D15" s="57">
        <f>IF(OR(-9123.83388="",-4712.21225="",-9123.83388=0),"-",-4712.21225/-9123.83388*100)</f>
        <v>51.64728240317326</v>
      </c>
    </row>
    <row r="16" spans="1:4" ht="15.75">
      <c r="A16" s="39" t="s">
        <v>126</v>
      </c>
      <c r="B16" s="24">
        <f>IF(-1830.3114="","-",-1830.3114)</f>
        <v>-1830.3114</v>
      </c>
      <c r="C16" s="24">
        <f>IF(-3319.73495="","-",-3319.73495)</f>
        <v>-3319.73495</v>
      </c>
      <c r="D16" s="57">
        <f>IF(OR(-1830.3114="",-3319.73495="",-1830.3114=0),"-",-3319.73495/-1830.3114*100)</f>
        <v>181.37541786605274</v>
      </c>
    </row>
    <row r="17" spans="1:4" ht="15.75">
      <c r="A17" s="39" t="s">
        <v>117</v>
      </c>
      <c r="B17" s="24">
        <f>IF(-2321.40549="","-",-2321.40549)</f>
        <v>-2321.40549</v>
      </c>
      <c r="C17" s="24">
        <f>IF(-2746.99246="","-",-2746.99246)</f>
        <v>-2746.99246</v>
      </c>
      <c r="D17" s="57">
        <f>IF(OR(-2321.40549="",-2746.99246="",-2321.40549=0),"-",-2746.99246/-2321.40549*100)</f>
        <v>118.33315945160446</v>
      </c>
    </row>
    <row r="18" spans="1:4" ht="15.75">
      <c r="A18" s="39" t="s">
        <v>127</v>
      </c>
      <c r="B18" s="24">
        <f>IF(-1707.56718="","-",-1707.56718)</f>
        <v>-1707.56718</v>
      </c>
      <c r="C18" s="24">
        <f>IF(-2670.26251="","-",-2670.26251)</f>
        <v>-2670.26251</v>
      </c>
      <c r="D18" s="57">
        <f>IF(OR(-1707.56718="",-2670.26251="",-1707.56718=0),"-",-2670.26251/-1707.56718*100)</f>
        <v>156.37818185285101</v>
      </c>
    </row>
    <row r="19" spans="1:4" ht="15.75">
      <c r="A19" s="39" t="s">
        <v>120</v>
      </c>
      <c r="B19" s="24">
        <f>IF(-2189.12933="","-",-2189.12933)</f>
        <v>-2189.12933</v>
      </c>
      <c r="C19" s="24">
        <f>IF(-2633.05671="","-",-2633.05671)</f>
        <v>-2633.05671</v>
      </c>
      <c r="D19" s="57">
        <f>IF(OR(-2189.12933="",-2633.05671="",-2189.12933=0),"-",-2633.05671/-2189.12933*100)</f>
        <v>120.2787187543643</v>
      </c>
    </row>
    <row r="20" spans="1:4" ht="15.75">
      <c r="A20" s="39" t="s">
        <v>124</v>
      </c>
      <c r="B20" s="24">
        <f>IF(-1150.1213="","-",-1150.1213)</f>
        <v>-1150.1213</v>
      </c>
      <c r="C20" s="24">
        <f>IF(-2217.5183="","-",-2217.5183)</f>
        <v>-2217.5183</v>
      </c>
      <c r="D20" s="57">
        <f>IF(OR(-1150.1213="",-2217.5183="",-1150.1213=0),"-",-2217.5183/-1150.1213*100)</f>
        <v>192.8073412778287</v>
      </c>
    </row>
    <row r="21" spans="1:4" ht="15.75">
      <c r="A21" s="39" t="s">
        <v>128</v>
      </c>
      <c r="B21" s="24">
        <f>IF(-1365.83338="","-",-1365.83338)</f>
        <v>-1365.83338</v>
      </c>
      <c r="C21" s="24">
        <f>IF(-2153.89917="","-",-2153.89917)</f>
        <v>-2153.89917</v>
      </c>
      <c r="D21" s="57">
        <f>IF(OR(-1365.83338="",-2153.89917="",-1365.83338=0),"-",-2153.89917/-1365.83338*100)</f>
        <v>157.69853054843338</v>
      </c>
    </row>
    <row r="22" spans="1:6" ht="15.75">
      <c r="A22" s="39" t="s">
        <v>116</v>
      </c>
      <c r="B22" s="24">
        <f>IF(-925.7319="","-",-925.7319)</f>
        <v>-925.7319</v>
      </c>
      <c r="C22" s="24">
        <f>IF(-1582.00686="","-",-1582.00686)</f>
        <v>-1582.00686</v>
      </c>
      <c r="D22" s="57">
        <f>IF(OR(-925.7319="",-1582.00686="",-925.7319=0),"-",-1582.00686/-925.7319*100)</f>
        <v>170.8925510722921</v>
      </c>
      <c r="F22" t="s">
        <v>207</v>
      </c>
    </row>
    <row r="23" spans="1:4" ht="15.75">
      <c r="A23" s="39" t="s">
        <v>12</v>
      </c>
      <c r="B23" s="24">
        <f>IF(-1915.23621="","-",-1915.23621)</f>
        <v>-1915.23621</v>
      </c>
      <c r="C23" s="24">
        <f>IF(-1470.81442="","-",-1470.81442)</f>
        <v>-1470.81442</v>
      </c>
      <c r="D23" s="57">
        <f>IF(OR(-1915.23621="",-1470.81442="",-1915.23621=0),"-",-1470.81442/-1915.23621*100)</f>
        <v>76.7954580390896</v>
      </c>
    </row>
    <row r="24" spans="1:4" ht="15.75">
      <c r="A24" s="39" t="s">
        <v>125</v>
      </c>
      <c r="B24" s="24">
        <f>IF(-728.53138="","-",-728.53138)</f>
        <v>-728.53138</v>
      </c>
      <c r="C24" s="24">
        <f>IF(-1103.69271="","-",-1103.69271)</f>
        <v>-1103.69271</v>
      </c>
      <c r="D24" s="57">
        <f>IF(OR(-728.53138="",-1103.69271="",-728.53138=0),"-",-1103.69271/-728.53138*100)</f>
        <v>151.4955622090019</v>
      </c>
    </row>
    <row r="25" spans="1:4" ht="15.75">
      <c r="A25" s="39" t="s">
        <v>121</v>
      </c>
      <c r="B25" s="24">
        <f>IF(-464.21684="","-",-464.21684)</f>
        <v>-464.21684</v>
      </c>
      <c r="C25" s="24">
        <f>IF(-882.02656="","-",-882.02656)</f>
        <v>-882.02656</v>
      </c>
      <c r="D25" s="57">
        <f>IF(OR(-464.21684="",-882.02656="",-464.21684=0),"-",-882.02656/-464.21684*100)</f>
        <v>190.00313732694403</v>
      </c>
    </row>
    <row r="26" spans="1:4" ht="15.75">
      <c r="A26" s="39" t="s">
        <v>129</v>
      </c>
      <c r="B26" s="24">
        <f>IF(-372.79852="","-",-372.79852)</f>
        <v>-372.79852</v>
      </c>
      <c r="C26" s="24">
        <f>IF(-536.82808="","-",-536.82808)</f>
        <v>-536.82808</v>
      </c>
      <c r="D26" s="57">
        <f>IF(OR(-372.79852="",-536.82808="",-372.79852=0),"-",-536.82808/-372.79852*100)</f>
        <v>143.9995201697689</v>
      </c>
    </row>
    <row r="27" spans="1:4" ht="15.75">
      <c r="A27" s="39" t="s">
        <v>189</v>
      </c>
      <c r="B27" s="24">
        <f>IF(-130.12014="","-",-130.12014)</f>
        <v>-130.12014</v>
      </c>
      <c r="C27" s="24">
        <f>IF(-331.72097="","-",-331.72097)</f>
        <v>-331.72097</v>
      </c>
      <c r="D27" s="57">
        <f>IF(OR(-130.12014="",-331.72097="",-130.12014=0),"-",-331.72097/-130.12014*100)</f>
        <v>254.93437833682015</v>
      </c>
    </row>
    <row r="28" spans="1:4" ht="15.75">
      <c r="A28" s="39" t="s">
        <v>130</v>
      </c>
      <c r="B28" s="24">
        <f>IF(-331.70314="","-",-331.70314)</f>
        <v>-331.70314</v>
      </c>
      <c r="C28" s="24">
        <f>IF(-188.22676="","-",-188.22676)</f>
        <v>-188.22676</v>
      </c>
      <c r="D28" s="57">
        <f>IF(OR(-331.70314="",-188.22676="",-331.70314=0),"-",-188.22676/-331.70314*100)</f>
        <v>56.74554663546447</v>
      </c>
    </row>
    <row r="29" spans="1:4" ht="15.75">
      <c r="A29" s="39" t="s">
        <v>131</v>
      </c>
      <c r="B29" s="24">
        <f>IF(-34.02719="","-",-34.02719)</f>
        <v>-34.02719</v>
      </c>
      <c r="C29" s="24">
        <f>IF(-34.94745="","-",-34.94745)</f>
        <v>-34.94745</v>
      </c>
      <c r="D29" s="57">
        <f>IF(OR(-34.02719="",-34.94745="",-34.02719=0),"-",-34.94745/-34.02719*100)</f>
        <v>102.70448426684662</v>
      </c>
    </row>
    <row r="30" spans="1:4" ht="15.75">
      <c r="A30" s="39" t="s">
        <v>123</v>
      </c>
      <c r="B30" s="24">
        <f>IF(946.70876="","-",946.70876)</f>
        <v>946.70876</v>
      </c>
      <c r="C30" s="24">
        <f>IF(15.94281="","-",15.94281)</f>
        <v>15.94281</v>
      </c>
      <c r="D30" s="57">
        <f>IF(OR(946.70876="",15.94281="",946.70876=0),"-",15.94281/946.70876*100)</f>
        <v>1.6840247680817912</v>
      </c>
    </row>
    <row r="31" spans="1:4" ht="15.75">
      <c r="A31" s="39" t="s">
        <v>119</v>
      </c>
      <c r="B31" s="24">
        <f>IF(81.53666="","-",81.53666)</f>
        <v>81.53666</v>
      </c>
      <c r="C31" s="24">
        <f>IF(84.24039="","-",84.24039)</f>
        <v>84.24039</v>
      </c>
      <c r="D31" s="57">
        <f>IF(OR(81.53666="",84.24039="",81.53666=0),"-",84.24039/81.53666*100)</f>
        <v>103.31596854715414</v>
      </c>
    </row>
    <row r="32" spans="1:4" ht="15.75">
      <c r="A32" s="39" t="s">
        <v>8</v>
      </c>
      <c r="B32" s="24">
        <f>IF(3057.97171="","-",3057.97171)</f>
        <v>3057.97171</v>
      </c>
      <c r="C32" s="24">
        <f>IF(134.81185="","-",134.81185)</f>
        <v>134.81185</v>
      </c>
      <c r="D32" s="57">
        <f>IF(OR(3057.97171="",134.81185="",3057.97171=0),"-",134.81185/3057.97171*100)</f>
        <v>4.40853816793485</v>
      </c>
    </row>
    <row r="33" spans="1:4" ht="15.75">
      <c r="A33" s="39" t="s">
        <v>122</v>
      </c>
      <c r="B33" s="24">
        <f>IF(-297.1812="","-",-297.1812)</f>
        <v>-297.1812</v>
      </c>
      <c r="C33" s="24">
        <f>IF(195.22609="","-",195.22609)</f>
        <v>195.22609</v>
      </c>
      <c r="D33" s="57" t="s">
        <v>30</v>
      </c>
    </row>
    <row r="34" spans="1:4" ht="15.75">
      <c r="A34" s="39" t="s">
        <v>11</v>
      </c>
      <c r="B34" s="24">
        <f>IF(1266.10132="","-",1266.10132)</f>
        <v>1266.10132</v>
      </c>
      <c r="C34" s="24">
        <f>IF(5134.69045="","-",5134.69045)</f>
        <v>5134.69045</v>
      </c>
      <c r="D34" s="57">
        <f>IF(OR(1266.10132="",5134.69045="",1266.10132=0),"-",5134.69045/1266.10132*100)</f>
        <v>405.551306904885</v>
      </c>
    </row>
    <row r="35" spans="1:4" ht="15.75">
      <c r="A35" s="39" t="s">
        <v>195</v>
      </c>
      <c r="B35" s="24">
        <f>IF(11997.63178="","-",11997.63178)</f>
        <v>11997.63178</v>
      </c>
      <c r="C35" s="24">
        <f>IF(12570.02701="","-",12570.02701)</f>
        <v>12570.02701</v>
      </c>
      <c r="D35" s="57">
        <f>IF(OR(11997.63178="",12570.02701="",11997.63178=0),"-",12570.02701/11997.63178*100)</f>
        <v>104.77090179542084</v>
      </c>
    </row>
    <row r="36" spans="1:4" ht="15.75">
      <c r="A36" s="37" t="s">
        <v>13</v>
      </c>
      <c r="B36" s="23">
        <f>IF(-106381.91873="","-",-106381.91873)</f>
        <v>-106381.91873</v>
      </c>
      <c r="C36" s="23">
        <f>IF(-127633.68324="","-",-127633.68324)</f>
        <v>-127633.68324</v>
      </c>
      <c r="D36" s="56">
        <f>IF(-106381.91873="","-",-127633.68324/-106381.91873*100)</f>
        <v>119.97685768757142</v>
      </c>
    </row>
    <row r="37" spans="1:4" ht="15.75">
      <c r="A37" s="39" t="s">
        <v>196</v>
      </c>
      <c r="B37" s="24">
        <f>IF(-68419.97475="","-",-68419.97475)</f>
        <v>-68419.97475</v>
      </c>
      <c r="C37" s="24">
        <f>IF(-82306.86957="","-",-82306.86957)</f>
        <v>-82306.86957</v>
      </c>
      <c r="D37" s="57">
        <f>IF(OR(-68419.97475="",-82306.86957="",-68419.97475=0),"-",-82306.86957/-68419.97475*100)</f>
        <v>120.29655063560223</v>
      </c>
    </row>
    <row r="38" spans="1:4" ht="15.75">
      <c r="A38" s="39" t="s">
        <v>15</v>
      </c>
      <c r="B38" s="24">
        <f>IF(-37701.78993="","-",-37701.78993)</f>
        <v>-37701.78993</v>
      </c>
      <c r="C38" s="24">
        <f>IF(-51820.31723="","-",-51820.31723)</f>
        <v>-51820.31723</v>
      </c>
      <c r="D38" s="57">
        <f>IF(OR(-37701.78993="",-51820.31723="",-37701.78993=0),"-",-51820.31723/-37701.78993*100)</f>
        <v>137.44789657523827</v>
      </c>
    </row>
    <row r="39" spans="1:4" ht="15.75">
      <c r="A39" s="39" t="s">
        <v>18</v>
      </c>
      <c r="B39" s="24">
        <f>IF(-170.10412="","-",-170.10412)</f>
        <v>-170.10412</v>
      </c>
      <c r="C39" s="24">
        <f>IF(-396.84599="","-",-396.84599)</f>
        <v>-396.84599</v>
      </c>
      <c r="D39" s="57" t="s">
        <v>212</v>
      </c>
    </row>
    <row r="40" spans="1:4" ht="15.75">
      <c r="A40" s="39" t="s">
        <v>225</v>
      </c>
      <c r="B40" s="24">
        <f>IF(76.74051="","-",76.74051)</f>
        <v>76.74051</v>
      </c>
      <c r="C40" s="24">
        <f>IF(49.29342="","-",49.29342)</f>
        <v>49.29342</v>
      </c>
      <c r="D40" s="57">
        <f>IF(OR(76.74051="",49.29342="",76.74051=0),"-",49.29342/76.74051*100)</f>
        <v>64.23389680365689</v>
      </c>
    </row>
    <row r="41" spans="1:4" ht="15.75">
      <c r="A41" s="39" t="s">
        <v>20</v>
      </c>
      <c r="B41" s="24">
        <f>IF(63.12689="","-",63.12689)</f>
        <v>63.12689</v>
      </c>
      <c r="C41" s="24">
        <f>IF(55.02848="","-",55.02848)</f>
        <v>55.02848</v>
      </c>
      <c r="D41" s="57">
        <f>IF(OR(63.12689="",55.02848="",63.12689=0),"-",55.02848/63.12689*100)</f>
        <v>87.17121974486625</v>
      </c>
    </row>
    <row r="42" spans="1:4" ht="15.75">
      <c r="A42" s="39" t="s">
        <v>22</v>
      </c>
      <c r="B42" s="24">
        <f>IF(59.14096="","-",59.14096)</f>
        <v>59.14096</v>
      </c>
      <c r="C42" s="24">
        <f>IF(94.22308="","-",94.22308)</f>
        <v>94.22308</v>
      </c>
      <c r="D42" s="57" t="s">
        <v>201</v>
      </c>
    </row>
    <row r="43" spans="1:4" ht="15.75">
      <c r="A43" s="39" t="s">
        <v>21</v>
      </c>
      <c r="B43" s="24">
        <f>IF(71.68285="","-",71.68285)</f>
        <v>71.68285</v>
      </c>
      <c r="C43" s="24">
        <f>IF(114.40759="","-",114.40759)</f>
        <v>114.40759</v>
      </c>
      <c r="D43" s="57" t="s">
        <v>201</v>
      </c>
    </row>
    <row r="44" spans="1:4" ht="15.75">
      <c r="A44" s="39" t="s">
        <v>17</v>
      </c>
      <c r="B44" s="24">
        <f>IF(621.42252="","-",621.42252)</f>
        <v>621.42252</v>
      </c>
      <c r="C44" s="24">
        <f>IF(659.01584="","-",659.01584)</f>
        <v>659.01584</v>
      </c>
      <c r="D44" s="57">
        <f>IF(OR(621.42252="",659.01584="",621.42252=0),"-",659.01584/621.42252*100)</f>
        <v>106.04955868030017</v>
      </c>
    </row>
    <row r="45" spans="1:4" ht="15.75">
      <c r="A45" s="39" t="s">
        <v>16</v>
      </c>
      <c r="B45" s="24">
        <f>IF(661.72773="","-",661.72773)</f>
        <v>661.72773</v>
      </c>
      <c r="C45" s="24">
        <f>IF(1462.73868="","-",1462.73868)</f>
        <v>1462.73868</v>
      </c>
      <c r="D45" s="57" t="s">
        <v>182</v>
      </c>
    </row>
    <row r="46" spans="1:4" ht="15.75">
      <c r="A46" s="39" t="s">
        <v>14</v>
      </c>
      <c r="B46" s="24">
        <f>IF(-1643.89139="","-",-1643.89139)</f>
        <v>-1643.89139</v>
      </c>
      <c r="C46" s="24">
        <f>IF(4455.64246="","-",4455.64246)</f>
        <v>4455.64246</v>
      </c>
      <c r="D46" s="57" t="s">
        <v>30</v>
      </c>
    </row>
    <row r="47" spans="1:4" ht="15.75">
      <c r="A47" s="9" t="s">
        <v>23</v>
      </c>
      <c r="B47" s="23">
        <f>IF(-112901.64158="","-",-112901.64158)</f>
        <v>-112901.64158</v>
      </c>
      <c r="C47" s="23">
        <f>IF(-143766.68905="","-",-143766.68905)</f>
        <v>-143766.68905</v>
      </c>
      <c r="D47" s="56">
        <f>IF(-112901.64158="","-",-143766.68905/-112901.64158*100)</f>
        <v>127.33799707254884</v>
      </c>
    </row>
    <row r="48" spans="1:4" ht="15.75">
      <c r="A48" s="39" t="s">
        <v>135</v>
      </c>
      <c r="B48" s="24">
        <f>IF(-59891.66796="","-",-59891.66796)</f>
        <v>-59891.66796</v>
      </c>
      <c r="C48" s="24">
        <f>IF(-94832.37982="","-",-94832.37982)</f>
        <v>-94832.37982</v>
      </c>
      <c r="D48" s="57" t="s">
        <v>201</v>
      </c>
    </row>
    <row r="49" spans="1:4" ht="15.75">
      <c r="A49" s="39" t="s">
        <v>132</v>
      </c>
      <c r="B49" s="24">
        <f>IF(-24668.40471="","-",-24668.40471)</f>
        <v>-24668.40471</v>
      </c>
      <c r="C49" s="24">
        <f>IF(-30806.07066="","-",-30806.07066)</f>
        <v>-30806.07066</v>
      </c>
      <c r="D49" s="57">
        <f>IF(OR(-24668.40471="",-30806.07066="",-24668.40471=0),"-",-30806.07066/-24668.40471*100)</f>
        <v>124.88067640430731</v>
      </c>
    </row>
    <row r="50" spans="1:4" ht="15.75">
      <c r="A50" s="39" t="s">
        <v>24</v>
      </c>
      <c r="B50" s="24">
        <f>IF(-12961.29596="","-",-12961.29596)</f>
        <v>-12961.29596</v>
      </c>
      <c r="C50" s="24">
        <f>IF(-8145.57247="","-",-8145.57247)</f>
        <v>-8145.57247</v>
      </c>
      <c r="D50" s="57">
        <f>IF(OR(-12961.29596="",-8145.57247="",-12961.29596=0),"-",-8145.57247/-12961.29596*100)</f>
        <v>62.84535508747074</v>
      </c>
    </row>
    <row r="51" spans="1:4" ht="15.75">
      <c r="A51" s="39" t="s">
        <v>149</v>
      </c>
      <c r="B51" s="24">
        <f>IF(-3865.33782="","-",-3865.33782)</f>
        <v>-3865.33782</v>
      </c>
      <c r="C51" s="24">
        <f>IF(-5630.46194="","-",-5630.46194)</f>
        <v>-5630.46194</v>
      </c>
      <c r="D51" s="57">
        <f>IF(OR(-3865.33782="",-5630.46194="",-3865.33782=0),"-",-5630.46194/-3865.33782*100)</f>
        <v>145.66545544523711</v>
      </c>
    </row>
    <row r="52" spans="1:4" ht="15.75">
      <c r="A52" s="39" t="s">
        <v>153</v>
      </c>
      <c r="B52" s="24">
        <f>IF(-2495.54243="","-",-2495.54243)</f>
        <v>-2495.54243</v>
      </c>
      <c r="C52" s="24">
        <f>IF(-5497.24853="","-",-5497.24853)</f>
        <v>-5497.24853</v>
      </c>
      <c r="D52" s="57" t="s">
        <v>182</v>
      </c>
    </row>
    <row r="53" spans="1:4" ht="15.75">
      <c r="A53" s="39" t="s">
        <v>146</v>
      </c>
      <c r="B53" s="24">
        <f>IF(-3770.4961="","-",-3770.4961)</f>
        <v>-3770.4961</v>
      </c>
      <c r="C53" s="24">
        <f>IF(-4034.85803="","-",-4034.85803)</f>
        <v>-4034.85803</v>
      </c>
      <c r="D53" s="57">
        <f>IF(OR(-3770.4961="",-4034.85803="",-3770.4961=0),"-",-4034.85803/-3770.4961*100)</f>
        <v>107.01133015361029</v>
      </c>
    </row>
    <row r="54" spans="1:4" ht="15.75">
      <c r="A54" s="39" t="s">
        <v>110</v>
      </c>
      <c r="B54" s="24">
        <f>IF(-3298.13223="","-",-3298.13223)</f>
        <v>-3298.13223</v>
      </c>
      <c r="C54" s="24">
        <f>IF(-3557.09899="","-",-3557.09899)</f>
        <v>-3557.09899</v>
      </c>
      <c r="D54" s="57">
        <f>IF(OR(-3298.13223="",-3557.09899="",-3298.13223=0),"-",-3557.09899/-3298.13223*100)</f>
        <v>107.85192169205418</v>
      </c>
    </row>
    <row r="55" spans="1:4" ht="15.75">
      <c r="A55" s="39" t="s">
        <v>158</v>
      </c>
      <c r="B55" s="24">
        <f>IF(-2028.61029="","-",-2028.61029)</f>
        <v>-2028.61029</v>
      </c>
      <c r="C55" s="24">
        <f>IF(-2655.25882="","-",-2655.25882)</f>
        <v>-2655.25882</v>
      </c>
      <c r="D55" s="57">
        <f>IF(OR(-2028.61029="",-2655.25882="",-2028.61029=0),"-",-2655.25882/-2028.61029*100)</f>
        <v>130.89053294706497</v>
      </c>
    </row>
    <row r="56" spans="1:4" ht="15.75">
      <c r="A56" s="39" t="s">
        <v>147</v>
      </c>
      <c r="B56" s="24">
        <f>IF(-2184.84614="","-",-2184.84614)</f>
        <v>-2184.84614</v>
      </c>
      <c r="C56" s="24">
        <f>IF(-2272.53921="","-",-2272.53921)</f>
        <v>-2272.53921</v>
      </c>
      <c r="D56" s="57">
        <f>IF(OR(-2184.84614="",-2272.53921="",-2184.84614=0),"-",-2272.53921/-2184.84614*100)</f>
        <v>104.01369544493416</v>
      </c>
    </row>
    <row r="57" spans="1:4" ht="15.75">
      <c r="A57" s="39" t="s">
        <v>148</v>
      </c>
      <c r="B57" s="24">
        <f>IF(-1417.39577="","-",-1417.39577)</f>
        <v>-1417.39577</v>
      </c>
      <c r="C57" s="24">
        <f>IF(-1867.77357="","-",-1867.77357)</f>
        <v>-1867.77357</v>
      </c>
      <c r="D57" s="57">
        <f>IF(OR(-1417.39577="",-1867.77357="",-1417.39577=0),"-",-1867.77357/-1417.39577*100)</f>
        <v>131.77502074808646</v>
      </c>
    </row>
    <row r="58" spans="1:4" ht="15.75">
      <c r="A58" s="39" t="s">
        <v>138</v>
      </c>
      <c r="B58" s="24">
        <f>IF(-539.47975="","-",-539.47975)</f>
        <v>-539.47975</v>
      </c>
      <c r="C58" s="24">
        <f>IF(-1727.36875="","-",-1727.36875)</f>
        <v>-1727.36875</v>
      </c>
      <c r="D58" s="57" t="s">
        <v>232</v>
      </c>
    </row>
    <row r="59" spans="1:4" ht="15.75">
      <c r="A59" s="39" t="s">
        <v>159</v>
      </c>
      <c r="B59" s="24">
        <f>IF(-905.3933="","-",-905.3933)</f>
        <v>-905.3933</v>
      </c>
      <c r="C59" s="24">
        <f>IF(-1570.85653="","-",-1570.85653)</f>
        <v>-1570.85653</v>
      </c>
      <c r="D59" s="57" t="s">
        <v>200</v>
      </c>
    </row>
    <row r="60" spans="1:4" ht="15.75">
      <c r="A60" s="39" t="s">
        <v>155</v>
      </c>
      <c r="B60" s="24">
        <f>IF(-875.42161="","-",-875.42161)</f>
        <v>-875.42161</v>
      </c>
      <c r="C60" s="24">
        <f>IF(-1510.35689="","-",-1510.35689)</f>
        <v>-1510.35689</v>
      </c>
      <c r="D60" s="57" t="s">
        <v>200</v>
      </c>
    </row>
    <row r="61" spans="1:7" ht="15.75">
      <c r="A61" s="39" t="s">
        <v>162</v>
      </c>
      <c r="B61" s="24">
        <f>IF(-613.37395="","-",-613.37395)</f>
        <v>-613.37395</v>
      </c>
      <c r="C61" s="24">
        <f>IF(-1494.57582="","-",-1494.57582)</f>
        <v>-1494.57582</v>
      </c>
      <c r="D61" s="57" t="s">
        <v>115</v>
      </c>
      <c r="E61" s="1"/>
      <c r="F61" s="1"/>
      <c r="G61" s="1"/>
    </row>
    <row r="62" spans="1:4" ht="15.75">
      <c r="A62" s="39" t="s">
        <v>143</v>
      </c>
      <c r="B62" s="24">
        <f>IF(-668.46112="","-",-668.46112)</f>
        <v>-668.46112</v>
      </c>
      <c r="C62" s="24">
        <f>IF(-1348.73864="","-",-1348.73864)</f>
        <v>-1348.73864</v>
      </c>
      <c r="D62" s="57" t="s">
        <v>25</v>
      </c>
    </row>
    <row r="63" spans="1:4" ht="15.75">
      <c r="A63" s="39" t="s">
        <v>161</v>
      </c>
      <c r="B63" s="24">
        <f>IF(-765.23756="","-",-765.23756)</f>
        <v>-765.23756</v>
      </c>
      <c r="C63" s="24">
        <f>IF(-1216.60635="","-",-1216.60635)</f>
        <v>-1216.60635</v>
      </c>
      <c r="D63" s="57" t="s">
        <v>201</v>
      </c>
    </row>
    <row r="64" spans="1:4" ht="15.75">
      <c r="A64" s="39" t="s">
        <v>151</v>
      </c>
      <c r="B64" s="24">
        <f>IF(-448.24582="","-",-448.24582)</f>
        <v>-448.24582</v>
      </c>
      <c r="C64" s="24">
        <f>IF(-1020.25417="","-",-1020.25417)</f>
        <v>-1020.25417</v>
      </c>
      <c r="D64" s="57" t="s">
        <v>212</v>
      </c>
    </row>
    <row r="65" spans="1:4" ht="15.75">
      <c r="A65" s="39" t="s">
        <v>163</v>
      </c>
      <c r="B65" s="24">
        <f>IF(-395.28171="","-",-395.28171)</f>
        <v>-395.28171</v>
      </c>
      <c r="C65" s="24">
        <f>IF(-903.65841="","-",-903.65841)</f>
        <v>-903.65841</v>
      </c>
      <c r="D65" s="57" t="s">
        <v>212</v>
      </c>
    </row>
    <row r="66" spans="1:4" ht="15.75">
      <c r="A66" s="39" t="s">
        <v>114</v>
      </c>
      <c r="B66" s="24">
        <f>IF(-114.11799="","-",-114.11799)</f>
        <v>-114.11799</v>
      </c>
      <c r="C66" s="24">
        <f>IF(-545.45877="","-",-545.45877)</f>
        <v>-545.45877</v>
      </c>
      <c r="D66" s="57" t="s">
        <v>245</v>
      </c>
    </row>
    <row r="67" spans="1:4" ht="15.75">
      <c r="A67" s="39" t="s">
        <v>160</v>
      </c>
      <c r="B67" s="24">
        <f>IF(-490.26085="","-",-490.26085)</f>
        <v>-490.26085</v>
      </c>
      <c r="C67" s="24">
        <f>IF(-524.69003="","-",-524.69003)</f>
        <v>-524.69003</v>
      </c>
      <c r="D67" s="57">
        <f>IF(OR(-490.26085="",-524.69003="",-490.26085=0),"-",-524.69003/-490.26085*100)</f>
        <v>107.02262479249566</v>
      </c>
    </row>
    <row r="68" spans="1:7" ht="15.75">
      <c r="A68" s="39" t="s">
        <v>137</v>
      </c>
      <c r="B68" s="24">
        <f>IF(-277.08386="","-",-277.08386)</f>
        <v>-277.08386</v>
      </c>
      <c r="C68" s="24">
        <f>IF(-408.43619="","-",-408.43619)</f>
        <v>-408.43619</v>
      </c>
      <c r="D68" s="57">
        <f>IF(OR(-277.08386="",-408.43619="",-277.08386=0),"-",-408.43619/-277.08386*100)</f>
        <v>147.40526207481014</v>
      </c>
      <c r="E68" s="1"/>
      <c r="F68" s="1"/>
      <c r="G68" s="1"/>
    </row>
    <row r="69" spans="1:4" ht="15.75">
      <c r="A69" s="39" t="s">
        <v>166</v>
      </c>
      <c r="B69" s="24">
        <f>IF(-473.19752="","-",-473.19752)</f>
        <v>-473.19752</v>
      </c>
      <c r="C69" s="24">
        <f>IF(-404.45634="","-",-404.45634)</f>
        <v>-404.45634</v>
      </c>
      <c r="D69" s="57">
        <f>IF(OR(-473.19752="",-404.45634="",-473.19752=0),"-",-404.45634/-473.19752*100)</f>
        <v>85.47304728055211</v>
      </c>
    </row>
    <row r="70" spans="1:4" ht="15.75">
      <c r="A70" s="39" t="s">
        <v>144</v>
      </c>
      <c r="B70" s="24">
        <f>IF(-41.16591="","-",-41.16591)</f>
        <v>-41.16591</v>
      </c>
      <c r="C70" s="24">
        <f>IF(-386.71118="","-",-386.71118)</f>
        <v>-386.71118</v>
      </c>
      <c r="D70" s="57" t="s">
        <v>246</v>
      </c>
    </row>
    <row r="71" spans="1:4" ht="15.75">
      <c r="A71" s="39" t="s">
        <v>164</v>
      </c>
      <c r="B71" s="24">
        <f>IF(-483.57928="","-",-483.57928)</f>
        <v>-483.57928</v>
      </c>
      <c r="C71" s="24">
        <f>IF(-335.53764="","-",-335.53764)</f>
        <v>-335.53764</v>
      </c>
      <c r="D71" s="57">
        <f>IF(OR(-483.57928="",-335.53764="",-483.57928=0),"-",-335.53764/-483.57928*100)</f>
        <v>69.38627312568066</v>
      </c>
    </row>
    <row r="72" spans="1:4" ht="15.75">
      <c r="A72" s="39" t="s">
        <v>171</v>
      </c>
      <c r="B72" s="24">
        <f>IF(-257.76943="","-",-257.76943)</f>
        <v>-257.76943</v>
      </c>
      <c r="C72" s="24">
        <f>IF(-320.33071="","-",-320.33071)</f>
        <v>-320.33071</v>
      </c>
      <c r="D72" s="57">
        <f>IF(OR(-257.76943="",-320.33071="",-257.76943=0),"-",-320.33071/-257.76943*100)</f>
        <v>124.27024802747168</v>
      </c>
    </row>
    <row r="73" spans="1:4" ht="15.75">
      <c r="A73" s="39" t="s">
        <v>170</v>
      </c>
      <c r="B73" s="24">
        <f>IF(-75.65095="","-",-75.65095)</f>
        <v>-75.65095</v>
      </c>
      <c r="C73" s="24">
        <f>IF(-315.36484="","-",-315.36484)</f>
        <v>-315.36484</v>
      </c>
      <c r="D73" s="57" t="s">
        <v>247</v>
      </c>
    </row>
    <row r="74" spans="1:4" ht="15.75">
      <c r="A74" s="39" t="s">
        <v>165</v>
      </c>
      <c r="B74" s="24">
        <f>IF(-187.78691="","-",-187.78691)</f>
        <v>-187.78691</v>
      </c>
      <c r="C74" s="24">
        <f>IF(-310.78816="","-",-310.78816)</f>
        <v>-310.78816</v>
      </c>
      <c r="D74" s="57" t="s">
        <v>200</v>
      </c>
    </row>
    <row r="75" spans="1:4" ht="15.75">
      <c r="A75" s="39" t="s">
        <v>191</v>
      </c>
      <c r="B75" s="24">
        <f>IF(-0.44316="","-",-0.44316)</f>
        <v>-0.44316</v>
      </c>
      <c r="C75" s="24">
        <f>IF(-305.73061="","-",-305.73061)</f>
        <v>-305.73061</v>
      </c>
      <c r="D75" s="57" t="s">
        <v>248</v>
      </c>
    </row>
    <row r="76" spans="1:7" ht="15.75">
      <c r="A76" s="39" t="s">
        <v>243</v>
      </c>
      <c r="B76" s="24">
        <f>IF(-158.76093="","-",-158.76093)</f>
        <v>-158.76093</v>
      </c>
      <c r="C76" s="24">
        <f>IF(-294.5253="","-",-294.5253)</f>
        <v>-294.5253</v>
      </c>
      <c r="D76" s="57" t="s">
        <v>202</v>
      </c>
      <c r="E76" s="21"/>
      <c r="F76" s="21"/>
      <c r="G76" s="21"/>
    </row>
    <row r="77" spans="1:4" ht="15.75">
      <c r="A77" s="39" t="s">
        <v>141</v>
      </c>
      <c r="B77" s="24">
        <f>IF(-1130.16594="","-",-1130.16594)</f>
        <v>-1130.16594</v>
      </c>
      <c r="C77" s="24">
        <f>IF(-281.80743="","-",-281.80743)</f>
        <v>-281.80743</v>
      </c>
      <c r="D77" s="57">
        <f>IF(OR(-1130.16594="",-281.80743="",-1130.16594=0),"-",-281.80743/-1130.16594*100)</f>
        <v>24.93504891856854</v>
      </c>
    </row>
    <row r="78" spans="1:4" ht="15.75">
      <c r="A78" s="39" t="s">
        <v>167</v>
      </c>
      <c r="B78" s="24">
        <f>IF(-88.28459="","-",-88.28459)</f>
        <v>-88.28459</v>
      </c>
      <c r="C78" s="24">
        <f>IF(-280.20072="","-",-280.20072)</f>
        <v>-280.20072</v>
      </c>
      <c r="D78" s="57" t="s">
        <v>232</v>
      </c>
    </row>
    <row r="79" spans="1:4" ht="15.75">
      <c r="A79" s="39" t="s">
        <v>172</v>
      </c>
      <c r="B79" s="24">
        <f>IF(-233.41265="","-",-233.41265)</f>
        <v>-233.41265</v>
      </c>
      <c r="C79" s="24">
        <f>IF(-263.20349="","-",-263.20349)</f>
        <v>-263.20349</v>
      </c>
      <c r="D79" s="57">
        <f>IF(OR(-233.41265="",-263.20349="",-233.41265=0),"-",-263.20349/-233.41265*100)</f>
        <v>112.76316429293784</v>
      </c>
    </row>
    <row r="80" spans="1:4" ht="15.75">
      <c r="A80" s="39" t="s">
        <v>113</v>
      </c>
      <c r="B80" s="24">
        <f>IF(-124.63006="","-",-124.63006)</f>
        <v>-124.63006</v>
      </c>
      <c r="C80" s="24">
        <f>IF(-243.0361="","-",-243.0361)</f>
        <v>-243.0361</v>
      </c>
      <c r="D80" s="57" t="s">
        <v>25</v>
      </c>
    </row>
    <row r="81" spans="1:4" ht="15.75">
      <c r="A81" s="39" t="s">
        <v>168</v>
      </c>
      <c r="B81" s="24">
        <f>IF(-116.45473="","-",-116.45473)</f>
        <v>-116.45473</v>
      </c>
      <c r="C81" s="24">
        <f>IF(-216.7822="","-",-216.7822)</f>
        <v>-216.7822</v>
      </c>
      <c r="D81" s="57" t="s">
        <v>202</v>
      </c>
    </row>
    <row r="82" spans="1:4" ht="15.75">
      <c r="A82" s="39" t="s">
        <v>181</v>
      </c>
      <c r="B82" s="24">
        <f>IF(-42.75149="","-",-42.75149)</f>
        <v>-42.75149</v>
      </c>
      <c r="C82" s="24">
        <f>IF(-195.92629="","-",-195.92629)</f>
        <v>-195.92629</v>
      </c>
      <c r="D82" s="57" t="s">
        <v>229</v>
      </c>
    </row>
    <row r="83" spans="1:4" ht="15.75">
      <c r="A83" s="39" t="s">
        <v>145</v>
      </c>
      <c r="B83" s="24">
        <f>IF(531.60304="","-",531.60304)</f>
        <v>531.60304</v>
      </c>
      <c r="C83" s="24">
        <f>IF(-186.84272="","-",-186.84272)</f>
        <v>-186.84272</v>
      </c>
      <c r="D83" s="57" t="s">
        <v>30</v>
      </c>
    </row>
    <row r="84" spans="1:4" ht="15.75">
      <c r="A84" s="39" t="s">
        <v>190</v>
      </c>
      <c r="B84" s="24" t="s">
        <v>244</v>
      </c>
      <c r="C84" s="24">
        <f>IF(-176.97313="","-",-176.97313)</f>
        <v>-176.97313</v>
      </c>
      <c r="D84" s="57" t="s">
        <v>30</v>
      </c>
    </row>
    <row r="85" spans="1:4" ht="15.75">
      <c r="A85" s="39" t="s">
        <v>157</v>
      </c>
      <c r="B85" s="24">
        <f>IF(-126.79723="","-",-126.79723)</f>
        <v>-126.79723</v>
      </c>
      <c r="C85" s="24">
        <f>IF(-165.60193="","-",-165.60193)</f>
        <v>-165.60193</v>
      </c>
      <c r="D85" s="57">
        <f>IF(OR(-126.79723="",-165.60193="",-126.79723=0),"-",-165.60193/-126.79723*100)</f>
        <v>130.60374426160573</v>
      </c>
    </row>
    <row r="86" spans="1:4" ht="15.75">
      <c r="A86" s="39" t="s">
        <v>180</v>
      </c>
      <c r="B86" s="24">
        <f>IF(-83.51715="","-",-83.51715)</f>
        <v>-83.51715</v>
      </c>
      <c r="C86" s="24">
        <f>IF(-140.55733="","-",-140.55733)</f>
        <v>-140.55733</v>
      </c>
      <c r="D86" s="57" t="s">
        <v>200</v>
      </c>
    </row>
    <row r="87" spans="1:4" ht="15.75">
      <c r="A87" s="39" t="s">
        <v>173</v>
      </c>
      <c r="B87" s="24">
        <f>IF(6.89673="","-",6.89673)</f>
        <v>6.89673</v>
      </c>
      <c r="C87" s="24">
        <f>IF(-119.2149="","-",-119.2149)</f>
        <v>-119.2149</v>
      </c>
      <c r="D87" s="57" t="s">
        <v>30</v>
      </c>
    </row>
    <row r="88" spans="1:4" ht="15.75">
      <c r="A88" s="39" t="s">
        <v>197</v>
      </c>
      <c r="B88" s="24">
        <f>IF(-18.50144="","-",-18.50144)</f>
        <v>-18.50144</v>
      </c>
      <c r="C88" s="24">
        <f>IF(-100.52106="","-",-100.52106)</f>
        <v>-100.52106</v>
      </c>
      <c r="D88" s="57" t="s">
        <v>240</v>
      </c>
    </row>
    <row r="89" spans="1:4" ht="15.75">
      <c r="A89" s="39" t="s">
        <v>169</v>
      </c>
      <c r="B89" s="24">
        <f>IF(-163.66214="","-",-163.66214)</f>
        <v>-163.66214</v>
      </c>
      <c r="C89" s="24">
        <f>IF(-99.17628="","-",-99.17628)</f>
        <v>-99.17628</v>
      </c>
      <c r="D89" s="57">
        <f>IF(OR(-163.66214="",-99.17628="",-163.66214=0),"-",-99.17628/-163.66214*100)</f>
        <v>60.598181106516144</v>
      </c>
    </row>
    <row r="90" spans="1:4" ht="15.75">
      <c r="A90" s="39" t="s">
        <v>150</v>
      </c>
      <c r="B90" s="24">
        <f>IF(-243.86993="","-",-243.86993)</f>
        <v>-243.86993</v>
      </c>
      <c r="C90" s="24">
        <f>IF(-98.94178="","-",-98.94178)</f>
        <v>-98.94178</v>
      </c>
      <c r="D90" s="57">
        <f>IF(OR(-243.86993="",-98.94178="",-243.86993=0),"-",-98.94178/-243.86993*100)</f>
        <v>40.57153745851323</v>
      </c>
    </row>
    <row r="91" spans="1:4" ht="15.75">
      <c r="A91" s="39" t="s">
        <v>215</v>
      </c>
      <c r="B91" s="24">
        <f>IF(-0.33474="","-",-0.33474)</f>
        <v>-0.33474</v>
      </c>
      <c r="C91" s="24">
        <f>IF(-89.93872="","-",-89.93872)</f>
        <v>-89.93872</v>
      </c>
      <c r="D91" s="57" t="s">
        <v>241</v>
      </c>
    </row>
    <row r="92" spans="1:4" ht="15.75">
      <c r="A92" s="39" t="s">
        <v>174</v>
      </c>
      <c r="B92" s="24">
        <f>IF(-149.09477="","-",-149.09477)</f>
        <v>-149.09477</v>
      </c>
      <c r="C92" s="24">
        <f>IF(-88.01308="","-",-88.01308)</f>
        <v>-88.01308</v>
      </c>
      <c r="D92" s="57">
        <f>IF(OR(-149.09477="",-88.01308="",-149.09477=0),"-",-88.01308/-149.09477*100)</f>
        <v>59.031634711264516</v>
      </c>
    </row>
    <row r="93" spans="1:4" ht="15.75">
      <c r="A93" s="39" t="s">
        <v>156</v>
      </c>
      <c r="B93" s="24">
        <f>IF(58.86245="","-",58.86245)</f>
        <v>58.86245</v>
      </c>
      <c r="C93" s="24">
        <f>IF(20.8578="","-",20.8578)</f>
        <v>20.8578</v>
      </c>
      <c r="D93" s="57">
        <f>IF(OR(58.86245="",20.8578="",58.86245=0),"-",20.8578/58.86245*100)</f>
        <v>35.43481455494972</v>
      </c>
    </row>
    <row r="94" spans="1:4" ht="15.75">
      <c r="A94" s="39" t="s">
        <v>206</v>
      </c>
      <c r="B94" s="24">
        <f>IF(1.94178="","-",1.94178)</f>
        <v>1.94178</v>
      </c>
      <c r="C94" s="24">
        <f>IF(56.78462="","-",56.78462)</f>
        <v>56.78462</v>
      </c>
      <c r="D94" s="57" t="s">
        <v>249</v>
      </c>
    </row>
    <row r="95" spans="1:4" ht="15.75">
      <c r="A95" s="39" t="s">
        <v>208</v>
      </c>
      <c r="B95" s="24">
        <f>IF(-0.10535="","-",-0.10535)</f>
        <v>-0.10535</v>
      </c>
      <c r="C95" s="24">
        <f>IF(69.77432="","-",69.77432)</f>
        <v>69.77432</v>
      </c>
      <c r="D95" s="57" t="s">
        <v>30</v>
      </c>
    </row>
    <row r="96" spans="1:7" ht="15.75">
      <c r="A96" s="39" t="s">
        <v>228</v>
      </c>
      <c r="B96" s="24">
        <f>IF(-0.40038="","-",-0.40038)</f>
        <v>-0.40038</v>
      </c>
      <c r="C96" s="24">
        <f>IF(74.18292="","-",74.18292)</f>
        <v>74.18292</v>
      </c>
      <c r="D96" s="57" t="s">
        <v>30</v>
      </c>
      <c r="E96" s="21"/>
      <c r="F96" s="21"/>
      <c r="G96" s="21"/>
    </row>
    <row r="97" spans="1:7" ht="15.75">
      <c r="A97" s="39" t="s">
        <v>227</v>
      </c>
      <c r="B97" s="24" t="s">
        <v>244</v>
      </c>
      <c r="C97" s="24">
        <f>IF(78.61415="","-",78.61415)</f>
        <v>78.61415</v>
      </c>
      <c r="D97" s="57" t="s">
        <v>30</v>
      </c>
      <c r="E97" s="21"/>
      <c r="F97" s="21"/>
      <c r="G97" s="21"/>
    </row>
    <row r="98" spans="1:4" ht="15.75">
      <c r="A98" s="39" t="s">
        <v>178</v>
      </c>
      <c r="B98" s="24">
        <f>IF(54.56142="","-",54.56142)</f>
        <v>54.56142</v>
      </c>
      <c r="C98" s="24">
        <f>IF(199.00663="","-",199.00663)</f>
        <v>199.00663</v>
      </c>
      <c r="D98" s="57" t="s">
        <v>235</v>
      </c>
    </row>
    <row r="99" spans="1:4" ht="15.75">
      <c r="A99" s="39" t="s">
        <v>140</v>
      </c>
      <c r="B99" s="24">
        <f>IF(22.06786="","-",22.06786)</f>
        <v>22.06786</v>
      </c>
      <c r="C99" s="24">
        <f>IF(199.13882="","-",199.13882)</f>
        <v>199.13882</v>
      </c>
      <c r="D99" s="57" t="s">
        <v>250</v>
      </c>
    </row>
    <row r="100" spans="1:7" ht="15.75">
      <c r="A100" s="39" t="s">
        <v>154</v>
      </c>
      <c r="B100" s="24">
        <f>IF(67.65378="","-",67.65378)</f>
        <v>67.65378</v>
      </c>
      <c r="C100" s="24">
        <f>IF(199.14654="","-",199.14654)</f>
        <v>199.14654</v>
      </c>
      <c r="D100" s="57" t="s">
        <v>211</v>
      </c>
      <c r="E100" s="20"/>
      <c r="F100" s="20"/>
      <c r="G100" s="20"/>
    </row>
    <row r="101" spans="1:4" ht="15.75">
      <c r="A101" s="39" t="s">
        <v>205</v>
      </c>
      <c r="B101" s="24">
        <f>IF(0.46545="","-",0.46545)</f>
        <v>0.46545</v>
      </c>
      <c r="C101" s="24">
        <f>IF(203.26985="","-",203.26985)</f>
        <v>203.26985</v>
      </c>
      <c r="D101" s="57" t="s">
        <v>234</v>
      </c>
    </row>
    <row r="102" spans="1:7" ht="15.75">
      <c r="A102" s="39" t="s">
        <v>193</v>
      </c>
      <c r="B102" s="24">
        <f>IF(102.17514="","-",102.17514)</f>
        <v>102.17514</v>
      </c>
      <c r="C102" s="24">
        <f>IF(206.32233="","-",206.32233)</f>
        <v>206.32233</v>
      </c>
      <c r="D102" s="57" t="s">
        <v>25</v>
      </c>
      <c r="E102" s="20"/>
      <c r="F102" s="20"/>
      <c r="G102" s="20"/>
    </row>
    <row r="103" spans="1:7" ht="15.75">
      <c r="A103" s="39" t="s">
        <v>204</v>
      </c>
      <c r="B103" s="24">
        <f>IF(-4.71288="","-",-4.71288)</f>
        <v>-4.71288</v>
      </c>
      <c r="C103" s="24">
        <f>IF(253.63028="","-",253.63028)</f>
        <v>253.63028</v>
      </c>
      <c r="D103" s="57" t="s">
        <v>30</v>
      </c>
      <c r="E103" s="1"/>
      <c r="F103" s="1"/>
      <c r="G103" s="1"/>
    </row>
    <row r="104" spans="1:4" ht="15.75">
      <c r="A104" s="39" t="s">
        <v>226</v>
      </c>
      <c r="B104" s="24" t="s">
        <v>244</v>
      </c>
      <c r="C104" s="24">
        <f>IF(272.8708="","-",272.8708)</f>
        <v>272.8708</v>
      </c>
      <c r="D104" s="57" t="s">
        <v>30</v>
      </c>
    </row>
    <row r="105" spans="1:4" ht="15.75">
      <c r="A105" s="39" t="s">
        <v>210</v>
      </c>
      <c r="B105" s="24">
        <f>IF(-30.56879="","-",-30.56879)</f>
        <v>-30.56879</v>
      </c>
      <c r="C105" s="24">
        <f>IF(421.13265="","-",421.13265)</f>
        <v>421.13265</v>
      </c>
      <c r="D105" s="57" t="s">
        <v>30</v>
      </c>
    </row>
    <row r="106" spans="1:4" ht="15.75">
      <c r="A106" s="39" t="s">
        <v>142</v>
      </c>
      <c r="B106" s="24">
        <f>IF(-490.94342="","-",-490.94342)</f>
        <v>-490.94342</v>
      </c>
      <c r="C106" s="24">
        <f>IF(692.32455="","-",692.32455)</f>
        <v>692.32455</v>
      </c>
      <c r="D106" s="57" t="s">
        <v>30</v>
      </c>
    </row>
    <row r="107" spans="1:7" ht="15.75">
      <c r="A107" s="39" t="s">
        <v>112</v>
      </c>
      <c r="B107" s="24">
        <f>IF(360.73707="","-",360.73707)</f>
        <v>360.73707</v>
      </c>
      <c r="C107" s="24">
        <f>IF(816.84394="","-",816.84394)</f>
        <v>816.84394</v>
      </c>
      <c r="D107" s="57" t="s">
        <v>212</v>
      </c>
      <c r="E107" s="21"/>
      <c r="F107" s="21"/>
      <c r="G107" s="21"/>
    </row>
    <row r="108" spans="1:7" ht="15.75">
      <c r="A108" s="39" t="s">
        <v>133</v>
      </c>
      <c r="B108" s="24">
        <f>IF(1945.65746="","-",1945.65746)</f>
        <v>1945.65746</v>
      </c>
      <c r="C108" s="24">
        <f>IF(2097.80026="","-",2097.80026)</f>
        <v>2097.80026</v>
      </c>
      <c r="D108" s="57">
        <f>IF(OR(1945.65746="",2097.80026="",1945.65746=0),"-",2097.80026/1945.65746*100)</f>
        <v>107.81960869926199</v>
      </c>
      <c r="E108" s="17"/>
      <c r="F108" s="17"/>
      <c r="G108" s="17"/>
    </row>
    <row r="109" spans="1:4" ht="15.75">
      <c r="A109" s="39" t="s">
        <v>136</v>
      </c>
      <c r="B109" s="24">
        <f>IF(3342.52175="","-",3342.52175)</f>
        <v>3342.52175</v>
      </c>
      <c r="C109" s="24">
        <f>IF(2867.19135="","-",2867.19135)</f>
        <v>2867.19135</v>
      </c>
      <c r="D109" s="57">
        <f>IF(OR(3342.52175="",2867.19135="",3342.52175=0),"-",2867.19135/3342.52175*100)</f>
        <v>85.77928774883814</v>
      </c>
    </row>
    <row r="110" spans="1:7" ht="15.75">
      <c r="A110" s="39" t="s">
        <v>134</v>
      </c>
      <c r="B110" s="24">
        <f>IF(2334.42379="","-",2334.42379)</f>
        <v>2334.42379</v>
      </c>
      <c r="C110" s="24">
        <f>IF(3185.15538="","-",3185.15538)</f>
        <v>3185.15538</v>
      </c>
      <c r="D110" s="57">
        <f>IF(OR(2334.42379="",3185.15538="",2334.42379=0),"-",3185.15538/2334.42379*100)</f>
        <v>136.44289411563958</v>
      </c>
      <c r="E110" s="21"/>
      <c r="F110" s="21"/>
      <c r="G110" s="21"/>
    </row>
    <row r="111" spans="1:4" ht="15.75">
      <c r="A111" s="39" t="s">
        <v>152</v>
      </c>
      <c r="B111" s="24">
        <f>IF(682.72231="","-",682.72231)</f>
        <v>682.72231</v>
      </c>
      <c r="C111" s="24">
        <f>IF(4986.30059="","-",4986.30059)</f>
        <v>4986.30059</v>
      </c>
      <c r="D111" s="57" t="s">
        <v>251</v>
      </c>
    </row>
    <row r="112" spans="1:4" ht="15.75">
      <c r="A112" s="39" t="s">
        <v>192</v>
      </c>
      <c r="B112" s="24">
        <f>IF(293.20239="","-",293.20239)</f>
        <v>293.20239</v>
      </c>
      <c r="C112" s="24">
        <f>IF(11487.84391="","-",11487.84391)</f>
        <v>11487.84391</v>
      </c>
      <c r="D112" s="57" t="s">
        <v>214</v>
      </c>
    </row>
    <row r="113" spans="1:7" ht="15.75">
      <c r="A113" s="78" t="s">
        <v>26</v>
      </c>
      <c r="B113" s="78"/>
      <c r="C113" s="78"/>
      <c r="D113" s="78"/>
      <c r="E113" s="21"/>
      <c r="F113" s="21"/>
      <c r="G113" s="21"/>
    </row>
  </sheetData>
  <sheetProtection/>
  <mergeCells count="5">
    <mergeCell ref="A113:D113"/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J24" sqref="J24"/>
    </sheetView>
  </sheetViews>
  <sheetFormatPr defaultColWidth="9.00390625" defaultRowHeight="15.75"/>
  <cols>
    <col min="1" max="1" width="32.625" style="0" customWidth="1"/>
    <col min="2" max="2" width="13.875" style="0" customWidth="1"/>
    <col min="3" max="3" width="14.875" style="0" customWidth="1"/>
    <col min="4" max="5" width="10.50390625" style="0" customWidth="1"/>
  </cols>
  <sheetData>
    <row r="1" spans="1:5" ht="15.75">
      <c r="A1" s="64" t="s">
        <v>270</v>
      </c>
      <c r="B1" s="64"/>
      <c r="C1" s="64"/>
      <c r="D1" s="64"/>
      <c r="E1" s="64"/>
    </row>
    <row r="2" spans="1:5" ht="15.75">
      <c r="A2" s="16"/>
      <c r="B2" s="16"/>
      <c r="C2" s="16"/>
      <c r="D2" s="16"/>
      <c r="E2" s="16"/>
    </row>
    <row r="3" spans="1:6" ht="15.75">
      <c r="A3" s="65"/>
      <c r="B3" s="68" t="s">
        <v>219</v>
      </c>
      <c r="C3" s="69"/>
      <c r="D3" s="68" t="s">
        <v>209</v>
      </c>
      <c r="E3" s="85"/>
      <c r="F3" s="1"/>
    </row>
    <row r="4" spans="1:6" ht="18" customHeight="1">
      <c r="A4" s="66"/>
      <c r="B4" s="72" t="s">
        <v>183</v>
      </c>
      <c r="C4" s="74" t="s">
        <v>220</v>
      </c>
      <c r="D4" s="76" t="s">
        <v>222</v>
      </c>
      <c r="E4" s="68"/>
      <c r="F4" s="1"/>
    </row>
    <row r="5" spans="1:6" ht="18" customHeight="1">
      <c r="A5" s="67"/>
      <c r="B5" s="73"/>
      <c r="C5" s="75"/>
      <c r="D5" s="48">
        <v>2017</v>
      </c>
      <c r="E5" s="47">
        <v>2018</v>
      </c>
      <c r="F5" s="1"/>
    </row>
    <row r="6" spans="1:5" ht="15.75" customHeight="1">
      <c r="A6" s="30" t="s">
        <v>28</v>
      </c>
      <c r="B6" s="43">
        <f>IF(436254.68473="","-",436254.68473)</f>
        <v>436254.68473</v>
      </c>
      <c r="C6" s="43">
        <f>IF(316064.44449="","-",436254.68473/316064.44449*100)</f>
        <v>138.02713096499616</v>
      </c>
      <c r="D6" s="43">
        <v>100</v>
      </c>
      <c r="E6" s="43">
        <v>100</v>
      </c>
    </row>
    <row r="7" spans="1:5" ht="15.75" customHeight="1">
      <c r="A7" s="14" t="s">
        <v>2</v>
      </c>
      <c r="B7" s="54"/>
      <c r="C7" s="54"/>
      <c r="D7" s="54"/>
      <c r="E7" s="54"/>
    </row>
    <row r="8" spans="1:5" ht="15.75">
      <c r="A8" s="59" t="s">
        <v>260</v>
      </c>
      <c r="B8" s="23">
        <f>IF(70841.35371="","-",70841.35371)</f>
        <v>70841.35371</v>
      </c>
      <c r="C8" s="61">
        <v>115.92</v>
      </c>
      <c r="D8" s="23">
        <f>IF(61110.66655="","-",61110.66655/316064.44449*100)</f>
        <v>19.33487540764285</v>
      </c>
      <c r="E8" s="23">
        <f>IF(70841.35371="","-",70841.35371/436254.68473*100)</f>
        <v>16.23853134181104</v>
      </c>
    </row>
    <row r="9" spans="1:5" ht="15.75">
      <c r="A9" s="60" t="s">
        <v>255</v>
      </c>
      <c r="B9" s="24">
        <f>IF(230.12925="","-",230.12925)</f>
        <v>230.12925</v>
      </c>
      <c r="C9" s="62">
        <v>101.84</v>
      </c>
      <c r="D9" s="24">
        <f>IF(225.97206="","-",225.97206/316064.44449*100)</f>
        <v>0.07149556488855535</v>
      </c>
      <c r="E9" s="24">
        <f>IF(230.12925="","-",230.12925/436254.68473*100)</f>
        <v>0.052751124069287204</v>
      </c>
    </row>
    <row r="10" spans="1:5" ht="15.75">
      <c r="A10" s="60" t="s">
        <v>256</v>
      </c>
      <c r="B10" s="24">
        <f>IF(1639.5427="","-",1639.5427)</f>
        <v>1639.5427</v>
      </c>
      <c r="C10" s="62">
        <v>69.1</v>
      </c>
      <c r="D10" s="24">
        <f>IF(2372.77766="","-",2372.77766/316064.44449*100)</f>
        <v>0.7507259045947741</v>
      </c>
      <c r="E10" s="24">
        <f>IF(1639.5427="","-",1639.5427/436254.68473*100)</f>
        <v>0.37582237105710864</v>
      </c>
    </row>
    <row r="11" spans="1:5" ht="15.75">
      <c r="A11" s="60" t="s">
        <v>257</v>
      </c>
      <c r="B11" s="24">
        <f>IF(66543.32994="","-",66543.32994)</f>
        <v>66543.32994</v>
      </c>
      <c r="C11" s="62">
        <v>115.74</v>
      </c>
      <c r="D11" s="24">
        <f>IF(57491.52252="","-",57491.52252/316064.44449*100)</f>
        <v>18.189810186580154</v>
      </c>
      <c r="E11" s="24">
        <f>IF(66543.32994="","-",66543.32994/436254.68473*100)</f>
        <v>15.253321573196162</v>
      </c>
    </row>
    <row r="12" spans="1:5" ht="15.75">
      <c r="A12" s="60" t="s">
        <v>258</v>
      </c>
      <c r="B12" s="24">
        <f>IF(2426.2856="","-",2426.2856)</f>
        <v>2426.2856</v>
      </c>
      <c r="C12" s="62" t="s">
        <v>115</v>
      </c>
      <c r="D12" s="24">
        <f>IF(1003.85913="","-",1003.85913/316064.44449*100)</f>
        <v>0.3176121666009671</v>
      </c>
      <c r="E12" s="24">
        <f>IF(2426.2856="","-",2426.2856/436254.68473*100)</f>
        <v>0.5561626464829</v>
      </c>
    </row>
    <row r="13" spans="1:5" ht="15.75">
      <c r="A13" s="60" t="s">
        <v>262</v>
      </c>
      <c r="B13" s="24">
        <f>IF(0.67508="","-",0.67508)</f>
        <v>0.67508</v>
      </c>
      <c r="C13" s="62">
        <v>4.36</v>
      </c>
      <c r="D13" s="24">
        <f>IF(15.47592="","-",15.47592/316064.44449*100)</f>
        <v>0.004896444465612659</v>
      </c>
      <c r="E13" s="24">
        <f>IF(0.67508="","-",0.67508/436254.68473*100)</f>
        <v>0.00015474447006060465</v>
      </c>
    </row>
    <row r="14" spans="1:5" ht="15.75">
      <c r="A14" s="60" t="s">
        <v>263</v>
      </c>
      <c r="B14" s="24">
        <f>IF(1.39114="","-",1.39114)</f>
        <v>1.39114</v>
      </c>
      <c r="C14" s="62">
        <v>131.33</v>
      </c>
      <c r="D14" s="24">
        <f>IF(1.05926="","-",1.05926/316064.44449*100)</f>
        <v>0.00033514051278663015</v>
      </c>
      <c r="E14" s="24">
        <f>IF(1.39114="","-",1.39114/436254.68473*100)</f>
        <v>0.00031888253552187824</v>
      </c>
    </row>
    <row r="15" spans="1:5" ht="15.75">
      <c r="A15" s="59" t="s">
        <v>261</v>
      </c>
      <c r="B15" s="23">
        <f>IF(293312.57035="","-",293312.57035)</f>
        <v>293312.57035</v>
      </c>
      <c r="C15" s="61">
        <v>140.17</v>
      </c>
      <c r="D15" s="23">
        <f>IF(209249.29474="","-",209249.29474/316064.44449*100)</f>
        <v>66.20462958990645</v>
      </c>
      <c r="E15" s="23">
        <f>IF(293312.57035="","-",293312.57035/436254.68473*100)</f>
        <v>67.23425114197512</v>
      </c>
    </row>
    <row r="16" spans="1:5" ht="15.75">
      <c r="A16" s="60" t="s">
        <v>255</v>
      </c>
      <c r="B16" s="24">
        <f>IF(20230.36937="","-",20230.36937)</f>
        <v>20230.36937</v>
      </c>
      <c r="C16" s="62">
        <v>136.24</v>
      </c>
      <c r="D16" s="24">
        <f>IF(14849.47054="","-",14849.47054/316064.44449*100)</f>
        <v>4.698241386803578</v>
      </c>
      <c r="E16" s="24">
        <f>IF(20230.36937="","-",20230.36937/436254.68473*100)</f>
        <v>4.6372841549015495</v>
      </c>
    </row>
    <row r="17" spans="1:11" ht="15.75">
      <c r="A17" s="60" t="s">
        <v>256</v>
      </c>
      <c r="B17" s="24">
        <f>IF(7233.9084="","-",7233.9084)</f>
        <v>7233.9084</v>
      </c>
      <c r="C17" s="62" t="s">
        <v>245</v>
      </c>
      <c r="D17" s="24">
        <f>IF(1498.39859="","-",1498.39859/316064.44449*100)</f>
        <v>0.47408008591975864</v>
      </c>
      <c r="E17" s="24">
        <f>IF(7233.9084="","-",7233.9084/436254.68473*100)</f>
        <v>1.658184691925337</v>
      </c>
      <c r="K17" s="58"/>
    </row>
    <row r="18" spans="1:5" ht="15.75">
      <c r="A18" s="60" t="s">
        <v>257</v>
      </c>
      <c r="B18" s="24">
        <f>IF(265135.72634="","-",265135.72634)</f>
        <v>265135.72634</v>
      </c>
      <c r="C18" s="62">
        <v>137.89</v>
      </c>
      <c r="D18" s="24">
        <f>IF(192287.01603="","-",192287.01603/316064.44449*100)</f>
        <v>60.83791435011722</v>
      </c>
      <c r="E18" s="24">
        <f>IF(265135.72634="","-",265135.72634/436254.68473*100)</f>
        <v>60.77544508297801</v>
      </c>
    </row>
    <row r="19" spans="1:5" ht="15.75">
      <c r="A19" s="60" t="s">
        <v>258</v>
      </c>
      <c r="B19" s="24">
        <f>IF(627.52838="","-",627.52838)</f>
        <v>627.52838</v>
      </c>
      <c r="C19" s="62">
        <v>113.78</v>
      </c>
      <c r="D19" s="24">
        <f>IF(551.51627="","-",551.51627/316064.44449*100)</f>
        <v>0.17449487900795796</v>
      </c>
      <c r="E19" s="24">
        <f>IF(627.52838="","-",627.52838/436254.68473*100)</f>
        <v>0.1438445022976384</v>
      </c>
    </row>
    <row r="20" spans="1:5" ht="15.75">
      <c r="A20" s="60" t="s">
        <v>262</v>
      </c>
      <c r="B20" s="24">
        <f>IF(85.03786="","-",85.03786)</f>
        <v>85.03786</v>
      </c>
      <c r="C20" s="62">
        <v>142.72</v>
      </c>
      <c r="D20" s="24">
        <f>IF(59.58236="","-",59.58236/316064.44449*100)</f>
        <v>0.01885133270720843</v>
      </c>
      <c r="E20" s="24">
        <f>IF(85.03786="","-",85.03786/436254.68473*100)</f>
        <v>0.01949270987258975</v>
      </c>
    </row>
    <row r="21" spans="1:5" ht="15.75">
      <c r="A21" s="59" t="s">
        <v>259</v>
      </c>
      <c r="B21" s="23">
        <f>IF(72100.76067="","-",72100.76067)</f>
        <v>72100.76067</v>
      </c>
      <c r="C21" s="61" t="s">
        <v>201</v>
      </c>
      <c r="D21" s="23">
        <f>IF(45704.4832="","-",45704.4832/316064.44449*100)</f>
        <v>14.460495002450694</v>
      </c>
      <c r="E21" s="23">
        <f>IF(72100.76067="","-",72100.76067/436254.68473*100)</f>
        <v>16.527217516213835</v>
      </c>
    </row>
    <row r="22" spans="1:5" ht="15.75">
      <c r="A22" s="60" t="s">
        <v>255</v>
      </c>
      <c r="B22" s="24">
        <f>IF(13443.35086="","-",13443.35086)</f>
        <v>13443.35086</v>
      </c>
      <c r="C22" s="62">
        <v>111.47</v>
      </c>
      <c r="D22" s="24">
        <f>IF(12060.03789="","-",12060.03789/316064.44449*100)</f>
        <v>3.815689521629051</v>
      </c>
      <c r="E22" s="24">
        <f>IF(13443.35086="","-",13443.35086/436254.68473*100)</f>
        <v>3.081537306199967</v>
      </c>
    </row>
    <row r="23" spans="1:5" ht="15.75">
      <c r="A23" s="60" t="s">
        <v>256</v>
      </c>
      <c r="B23" s="24">
        <f>IF(9892.93453="","-",9892.93453)</f>
        <v>9892.93453</v>
      </c>
      <c r="C23" s="62" t="s">
        <v>216</v>
      </c>
      <c r="D23" s="24">
        <f>IF(2685.6603="","-",2685.6603/316064.44449*100)</f>
        <v>0.8497192097433066</v>
      </c>
      <c r="E23" s="24">
        <f>IF(9892.93453="","-",9892.93453/436254.68473*100)</f>
        <v>2.267697030261757</v>
      </c>
    </row>
    <row r="24" spans="1:5" ht="15.75">
      <c r="A24" s="60" t="s">
        <v>257</v>
      </c>
      <c r="B24" s="24">
        <f>IF(44870.62841="","-",44870.62841)</f>
        <v>44870.62841</v>
      </c>
      <c r="C24" s="62" t="s">
        <v>201</v>
      </c>
      <c r="D24" s="24">
        <f>IF(28043.81057="","-",28043.81057/316064.44449*100)</f>
        <v>8.872814091838565</v>
      </c>
      <c r="E24" s="24">
        <f>IF(44870.62841="","-",44870.62841/436254.68473*100)</f>
        <v>10.285420416234759</v>
      </c>
    </row>
    <row r="25" spans="1:5" ht="15.75">
      <c r="A25" s="60" t="s">
        <v>258</v>
      </c>
      <c r="B25" s="24">
        <f>IF(3808.35782="","-",3808.35782)</f>
        <v>3808.35782</v>
      </c>
      <c r="C25" s="62">
        <v>133.33</v>
      </c>
      <c r="D25" s="24">
        <f>IF(2856.34284="","-",2856.34284/316064.44449*100)</f>
        <v>0.9037216586031941</v>
      </c>
      <c r="E25" s="24">
        <f>IF(3808.35782="","-",3808.35782/436254.68473*100)</f>
        <v>0.8729666301135564</v>
      </c>
    </row>
    <row r="26" spans="1:7" ht="15.75">
      <c r="A26" s="60" t="s">
        <v>262</v>
      </c>
      <c r="B26" s="24">
        <f>IF(85.48905="","-",85.48905)</f>
        <v>85.48905</v>
      </c>
      <c r="C26" s="62">
        <v>145.81</v>
      </c>
      <c r="D26" s="24">
        <f>IF(58.6316="","-",58.6316/316064.44449*100)</f>
        <v>0.018550520636577028</v>
      </c>
      <c r="E26" s="24">
        <f>IF(85.48905="","-",85.48905/436254.68473*100)</f>
        <v>0.019596133403795898</v>
      </c>
      <c r="F26" s="1"/>
      <c r="G26" s="1"/>
    </row>
    <row r="27" spans="1:7" ht="15.75">
      <c r="A27" s="78" t="s">
        <v>26</v>
      </c>
      <c r="B27" s="78"/>
      <c r="C27" s="78"/>
      <c r="D27" s="78"/>
      <c r="E27" s="78"/>
      <c r="F27" s="21"/>
      <c r="G27" s="21"/>
    </row>
  </sheetData>
  <sheetProtection/>
  <mergeCells count="8">
    <mergeCell ref="A27:E27"/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1" width="31.375" style="0" customWidth="1"/>
    <col min="2" max="2" width="12.375" style="0" customWidth="1"/>
    <col min="3" max="3" width="14.875" style="0" customWidth="1"/>
    <col min="4" max="5" width="11.25390625" style="0" customWidth="1"/>
  </cols>
  <sheetData>
    <row r="1" spans="1:5" ht="15.75">
      <c r="A1" s="64" t="s">
        <v>271</v>
      </c>
      <c r="B1" s="64"/>
      <c r="C1" s="64"/>
      <c r="D1" s="64"/>
      <c r="E1" s="64"/>
    </row>
    <row r="2" spans="1:5" ht="15.75">
      <c r="A2" s="16"/>
      <c r="B2" s="16"/>
      <c r="C2" s="16"/>
      <c r="D2" s="16"/>
      <c r="E2" s="16"/>
    </row>
    <row r="3" spans="1:6" ht="15.75">
      <c r="A3" s="65"/>
      <c r="B3" s="68" t="s">
        <v>219</v>
      </c>
      <c r="C3" s="69"/>
      <c r="D3" s="68" t="s">
        <v>209</v>
      </c>
      <c r="E3" s="85"/>
      <c r="F3" s="1"/>
    </row>
    <row r="4" spans="1:6" ht="18" customHeight="1">
      <c r="A4" s="66"/>
      <c r="B4" s="72" t="s">
        <v>183</v>
      </c>
      <c r="C4" s="74" t="s">
        <v>220</v>
      </c>
      <c r="D4" s="76" t="s">
        <v>222</v>
      </c>
      <c r="E4" s="68"/>
      <c r="F4" s="1"/>
    </row>
    <row r="5" spans="1:6" ht="18" customHeight="1">
      <c r="A5" s="67"/>
      <c r="B5" s="73"/>
      <c r="C5" s="75"/>
      <c r="D5" s="48">
        <v>2017</v>
      </c>
      <c r="E5" s="47">
        <v>2018</v>
      </c>
      <c r="F5" s="1"/>
    </row>
    <row r="6" spans="1:5" ht="15.75" customHeight="1">
      <c r="A6" s="30" t="s">
        <v>27</v>
      </c>
      <c r="B6" s="50">
        <f>IF(801882.3303="","-",801882.3303)</f>
        <v>801882.3303</v>
      </c>
      <c r="C6" s="52">
        <v>133.76</v>
      </c>
      <c r="D6" s="50">
        <v>100</v>
      </c>
      <c r="E6" s="50">
        <v>100</v>
      </c>
    </row>
    <row r="7" spans="1:5" ht="15.75" customHeight="1">
      <c r="A7" s="8" t="s">
        <v>29</v>
      </c>
      <c r="B7" s="50"/>
      <c r="C7" s="52"/>
      <c r="D7" s="50"/>
      <c r="E7" s="50"/>
    </row>
    <row r="8" spans="1:5" ht="15.75">
      <c r="A8" s="59" t="s">
        <v>260</v>
      </c>
      <c r="B8" s="23">
        <f>IF(198475.03695="","-",198475.03695)</f>
        <v>198475.03695</v>
      </c>
      <c r="C8" s="53">
        <v>118.5</v>
      </c>
      <c r="D8" s="23">
        <f>IF(167492.58528="","-",167492.58528/599501.49446*100)</f>
        <v>27.938643494269964</v>
      </c>
      <c r="E8" s="23">
        <f>IF(198475.03695="","-",198475.03695/801882.3303*100)</f>
        <v>24.75114233727367</v>
      </c>
    </row>
    <row r="9" spans="1:5" ht="15.75">
      <c r="A9" s="60" t="s">
        <v>255</v>
      </c>
      <c r="B9" s="24">
        <f>IF(1594.63547="","-",1594.63547)</f>
        <v>1594.63547</v>
      </c>
      <c r="C9" s="51">
        <v>25.68</v>
      </c>
      <c r="D9" s="24">
        <f>IF(6210.23247="","-",6210.23247/599501.49446*100)</f>
        <v>1.0358994143282092</v>
      </c>
      <c r="E9" s="24">
        <f>IF(1594.63547="","-",1594.63547/801882.3303*100)</f>
        <v>0.19886152989596556</v>
      </c>
    </row>
    <row r="10" spans="1:5" ht="15.75">
      <c r="A10" s="60" t="s">
        <v>256</v>
      </c>
      <c r="B10" s="24">
        <f>IF(38346.14347="","-",38346.14347)</f>
        <v>38346.14347</v>
      </c>
      <c r="C10" s="51">
        <v>112.51</v>
      </c>
      <c r="D10" s="24">
        <f>IF(34081.49353="","-",34081.49353/599501.49446*100)</f>
        <v>5.684972238592808</v>
      </c>
      <c r="E10" s="24">
        <f>IF(38346.14347="","-",38346.14347/801882.3303*100)</f>
        <v>4.782016266109013</v>
      </c>
    </row>
    <row r="11" spans="1:5" ht="15.75">
      <c r="A11" s="60" t="s">
        <v>257</v>
      </c>
      <c r="B11" s="24">
        <f>IF(86748.64867="","-",86748.64867)</f>
        <v>86748.64867</v>
      </c>
      <c r="C11" s="51">
        <v>121.91</v>
      </c>
      <c r="D11" s="24">
        <f>IF(71155.12656="","-",71155.12656/599501.49446*100)</f>
        <v>11.869049071194206</v>
      </c>
      <c r="E11" s="24">
        <f>IF(86748.64867="","-",86748.64867/801882.3303*100)</f>
        <v>10.818126973510642</v>
      </c>
    </row>
    <row r="12" spans="1:5" ht="15.75">
      <c r="A12" s="60" t="s">
        <v>258</v>
      </c>
      <c r="B12" s="24">
        <f>IF(2032.3925="","-",2032.3925)</f>
        <v>2032.3925</v>
      </c>
      <c r="C12" s="51">
        <v>140.35</v>
      </c>
      <c r="D12" s="24">
        <f>IF(1448.10486="","-",1448.10486/599501.49446*100)</f>
        <v>0.24155150126929678</v>
      </c>
      <c r="E12" s="24">
        <f>IF(2032.3925="","-",2032.3925/801882.3303*100)</f>
        <v>0.253452710354603</v>
      </c>
    </row>
    <row r="13" spans="1:5" ht="15.75">
      <c r="A13" s="60" t="s">
        <v>262</v>
      </c>
      <c r="B13" s="24">
        <f>IF(26.65418="","-",26.65418)</f>
        <v>26.65418</v>
      </c>
      <c r="C13" s="51">
        <v>11.29</v>
      </c>
      <c r="D13" s="24">
        <f>IF(236.11308="","-",236.11308/599501.49446*100)</f>
        <v>0.03938490265360864</v>
      </c>
      <c r="E13" s="24">
        <f>IF(26.65418="","-",26.65418/801882.3303*100)</f>
        <v>0.0033239515316453158</v>
      </c>
    </row>
    <row r="14" spans="1:5" ht="15.75">
      <c r="A14" s="60" t="s">
        <v>263</v>
      </c>
      <c r="B14" s="24">
        <f>IF(69484.93478="","-",69484.93478)</f>
        <v>69484.93478</v>
      </c>
      <c r="C14" s="51">
        <v>128.48</v>
      </c>
      <c r="D14" s="24">
        <f>IF(54081.23456="","-",54081.23456/599501.49446*100)</f>
        <v>9.021034152502587</v>
      </c>
      <c r="E14" s="24">
        <f>IF(69484.93478="","-",69484.93478/801882.3303*100)</f>
        <v>8.665228320220537</v>
      </c>
    </row>
    <row r="15" spans="1:5" ht="15.75">
      <c r="A15" s="60" t="s">
        <v>264</v>
      </c>
      <c r="B15" s="24">
        <f>IF(241.62788="","-",241.62788)</f>
        <v>241.62788</v>
      </c>
      <c r="C15" s="51">
        <v>86.21</v>
      </c>
      <c r="D15" s="24">
        <f>IF(280.28022="","-",280.28022/599501.49446*100)</f>
        <v>0.04675221372925216</v>
      </c>
      <c r="E15" s="24">
        <f>IF(241.62788="","-",241.62788/801882.3303*100)</f>
        <v>0.030132585651264098</v>
      </c>
    </row>
    <row r="16" spans="1:5" ht="15.75">
      <c r="A16" s="59" t="s">
        <v>261</v>
      </c>
      <c r="B16" s="23">
        <f>IF(387539.84363="","-",387539.84363)</f>
        <v>387539.84363</v>
      </c>
      <c r="C16" s="53">
        <v>141.75</v>
      </c>
      <c r="D16" s="23">
        <f>IF(273402.7844="","-",273402.7844/599501.49446*100)</f>
        <v>45.60502132630497</v>
      </c>
      <c r="E16" s="23">
        <f>IF(387539.84363="","-",387539.84363/801882.3303*100)</f>
        <v>48.328767075465265</v>
      </c>
    </row>
    <row r="17" spans="1:5" ht="15.75">
      <c r="A17" s="60" t="s">
        <v>255</v>
      </c>
      <c r="B17" s="24">
        <f>IF(11173.43281="","-",11173.43281)</f>
        <v>11173.43281</v>
      </c>
      <c r="C17" s="51" t="s">
        <v>213</v>
      </c>
      <c r="D17" s="24">
        <f>IF(4075.25887="","-",4075.25887/599501.49446*100)</f>
        <v>0.6797745973378737</v>
      </c>
      <c r="E17" s="24">
        <f>IF(11173.43281="","-",11173.43281/801882.3303*100)</f>
        <v>1.3934005511531595</v>
      </c>
    </row>
    <row r="18" spans="1:5" ht="15.75">
      <c r="A18" s="60" t="s">
        <v>256</v>
      </c>
      <c r="B18" s="24">
        <f>IF(8598.25123="","-",8598.25123)</f>
        <v>8598.25123</v>
      </c>
      <c r="C18" s="51">
        <v>107.46</v>
      </c>
      <c r="D18" s="24">
        <f>IF(8001.1363="","-",8001.1363/599501.49446*100)</f>
        <v>1.3346315853986337</v>
      </c>
      <c r="E18" s="24">
        <f>IF(8598.25123="","-",8598.25123/801882.3303*100)</f>
        <v>1.072258472983589</v>
      </c>
    </row>
    <row r="19" spans="1:5" ht="15.75">
      <c r="A19" s="60" t="s">
        <v>257</v>
      </c>
      <c r="B19" s="24">
        <f>IF(357260.09803="","-",357260.09803)</f>
        <v>357260.09803</v>
      </c>
      <c r="C19" s="51">
        <v>141</v>
      </c>
      <c r="D19" s="24">
        <f>IF(253374.50303="","-",253374.50303/599501.49446*100)</f>
        <v>42.264198733687344</v>
      </c>
      <c r="E19" s="24">
        <f>IF(357260.09803="","-",357260.09803/801882.3303*100)</f>
        <v>44.552683670725344</v>
      </c>
    </row>
    <row r="20" spans="1:5" ht="15.75">
      <c r="A20" s="60" t="s">
        <v>258</v>
      </c>
      <c r="B20" s="24">
        <f>IF(5328.66334="","-",5328.66334)</f>
        <v>5328.66334</v>
      </c>
      <c r="C20" s="51">
        <v>125.07</v>
      </c>
      <c r="D20" s="24">
        <f>IF(4260.69037="","-",4260.69037/599501.49446*100)</f>
        <v>0.7107055460867217</v>
      </c>
      <c r="E20" s="24">
        <f>IF(5328.66334="","-",5328.66334/801882.3303*100)</f>
        <v>0.6645193613390187</v>
      </c>
    </row>
    <row r="21" spans="1:5" ht="15.75">
      <c r="A21" s="60" t="s">
        <v>262</v>
      </c>
      <c r="B21" s="24">
        <f>IF(944.63783="","-",944.63783)</f>
        <v>944.63783</v>
      </c>
      <c r="C21" s="51" t="s">
        <v>199</v>
      </c>
      <c r="D21" s="24">
        <f>IF(530.06167="","-",530.06167/599501.49446*100)</f>
        <v>0.0884170723339818</v>
      </c>
      <c r="E21" s="24">
        <f>IF(944.63783="","-",944.63783/801882.3303*100)</f>
        <v>0.11780254961430467</v>
      </c>
    </row>
    <row r="22" spans="1:5" ht="15.75">
      <c r="A22" s="60" t="s">
        <v>264</v>
      </c>
      <c r="B22" s="24">
        <f>IF(4234.76039="","-",4234.76039)</f>
        <v>4234.76039</v>
      </c>
      <c r="C22" s="51">
        <v>133.96</v>
      </c>
      <c r="D22" s="24">
        <f>IF(3161.13416="","-",3161.13416/599501.49446*100)</f>
        <v>0.5272937914604178</v>
      </c>
      <c r="E22" s="24">
        <f>IF(4234.76039="","-",4234.76039/801882.3303*100)</f>
        <v>0.5281024696498415</v>
      </c>
    </row>
    <row r="23" spans="1:5" ht="15.75">
      <c r="A23" s="59" t="s">
        <v>259</v>
      </c>
      <c r="B23" s="23">
        <f>IF(215867.44972="","-",215867.44972)</f>
        <v>215867.44972</v>
      </c>
      <c r="C23" s="53">
        <v>136.1</v>
      </c>
      <c r="D23" s="23">
        <f>IF(158606.12478="","-",158606.12478/599501.49446*100)</f>
        <v>26.45633517942507</v>
      </c>
      <c r="E23" s="23">
        <f>IF(215867.44972="","-",215867.44972/801882.3303*100)</f>
        <v>26.920090587261065</v>
      </c>
    </row>
    <row r="24" spans="1:5" ht="15.75">
      <c r="A24" s="60" t="s">
        <v>255</v>
      </c>
      <c r="B24" s="24">
        <f>IF(9256.91867="","-",9256.91867)</f>
        <v>9256.91867</v>
      </c>
      <c r="C24" s="51" t="s">
        <v>266</v>
      </c>
      <c r="D24" s="24">
        <f>IF(1175.27087="","-",1175.27087/599501.49446*100)</f>
        <v>0.19604135783825252</v>
      </c>
      <c r="E24" s="24">
        <f>IF(9256.91867="","-",9256.91867/801882.3303*100)</f>
        <v>1.154398634340378</v>
      </c>
    </row>
    <row r="25" spans="1:5" ht="15.75">
      <c r="A25" s="60" t="s">
        <v>256</v>
      </c>
      <c r="B25" s="24">
        <f>IF(140.75364="","-",140.75364)</f>
        <v>140.75364</v>
      </c>
      <c r="C25" s="51">
        <v>85.75</v>
      </c>
      <c r="D25" s="24">
        <f>IF(164.1457="","-",164.1457/599501.49446*100)</f>
        <v>0.027380365439764916</v>
      </c>
      <c r="E25" s="24">
        <f>IF(140.75364="","-",140.75364/801882.3303*100)</f>
        <v>0.01755290454490265</v>
      </c>
    </row>
    <row r="26" spans="1:5" ht="15.75">
      <c r="A26" s="60" t="s">
        <v>257</v>
      </c>
      <c r="B26" s="24">
        <f>IF(189904.19931="","-",189904.19931)</f>
        <v>189904.19931</v>
      </c>
      <c r="C26" s="51">
        <v>130.91</v>
      </c>
      <c r="D26" s="24">
        <f>IF(145070.09441="","-",145070.09441/599501.49446*100)</f>
        <v>24.198454174108715</v>
      </c>
      <c r="E26" s="24">
        <f>IF(189904.19931="","-",189904.19931/801882.3303*100)</f>
        <v>23.682302519242825</v>
      </c>
    </row>
    <row r="27" spans="1:5" ht="15.75">
      <c r="A27" s="60" t="s">
        <v>258</v>
      </c>
      <c r="B27" s="24">
        <f>IF(14774.05437="","-",14774.05437)</f>
        <v>14774.05437</v>
      </c>
      <c r="C27" s="51">
        <v>128.6</v>
      </c>
      <c r="D27" s="24">
        <f>IF(11488.03139="","-",11488.03139/599501.49446*100)</f>
        <v>1.9162640120435108</v>
      </c>
      <c r="E27" s="24">
        <f>IF(14774.05437="","-",14774.05437/801882.3303*100)</f>
        <v>1.8424217384204904</v>
      </c>
    </row>
    <row r="28" spans="1:7" ht="15.75">
      <c r="A28" s="60" t="s">
        <v>262</v>
      </c>
      <c r="B28" s="24">
        <f>IF(1350.93951="","-",1350.93951)</f>
        <v>1350.93951</v>
      </c>
      <c r="C28" s="51" t="s">
        <v>25</v>
      </c>
      <c r="D28" s="24">
        <f>IF(661.44079="","-",661.44079/599501.49446*100)</f>
        <v>0.1103318000225824</v>
      </c>
      <c r="E28" s="24">
        <f>IF(1350.93951="","-",1350.93951/801882.3303*100)</f>
        <v>0.16847104106840546</v>
      </c>
      <c r="F28" s="1"/>
      <c r="G28" s="1"/>
    </row>
    <row r="29" spans="1:7" ht="15.75">
      <c r="A29" s="60" t="s">
        <v>264</v>
      </c>
      <c r="B29" s="24">
        <f>IF(440.58422="","-",440.58422)</f>
        <v>440.58422</v>
      </c>
      <c r="C29" s="51" t="s">
        <v>265</v>
      </c>
      <c r="D29" s="24">
        <f>IF(47.14162="","-",47.14162/599501.49446*100)</f>
        <v>0.007863469972241311</v>
      </c>
      <c r="E29" s="24">
        <f>IF(440.58422="","-",440.58422/801882.3303*100)</f>
        <v>0.05494374964406171</v>
      </c>
      <c r="F29" s="1"/>
      <c r="G29" s="1"/>
    </row>
    <row r="30" spans="1:7" ht="15.75">
      <c r="A30" s="78" t="s">
        <v>26</v>
      </c>
      <c r="B30" s="78"/>
      <c r="C30" s="78"/>
      <c r="D30" s="78"/>
      <c r="E30" s="78"/>
      <c r="F30" s="21"/>
      <c r="G30" s="21"/>
    </row>
  </sheetData>
  <sheetProtection/>
  <mergeCells count="8">
    <mergeCell ref="A30:E30"/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A10" sqref="A10"/>
    </sheetView>
  </sheetViews>
  <sheetFormatPr defaultColWidth="9.00390625" defaultRowHeight="15.75"/>
  <cols>
    <col min="1" max="1" width="28.1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77" t="s">
        <v>272</v>
      </c>
      <c r="B1" s="77"/>
      <c r="C1" s="77"/>
      <c r="D1" s="77"/>
      <c r="E1" s="77"/>
      <c r="F1" s="77"/>
      <c r="G1" s="77"/>
    </row>
    <row r="2" spans="1:7" ht="15.75">
      <c r="A2" s="77" t="s">
        <v>31</v>
      </c>
      <c r="B2" s="77"/>
      <c r="C2" s="77"/>
      <c r="D2" s="77"/>
      <c r="E2" s="77"/>
      <c r="F2" s="77"/>
      <c r="G2" s="77"/>
    </row>
    <row r="3" ht="15.75">
      <c r="A3" s="6"/>
    </row>
    <row r="4" spans="1:7" ht="57" customHeight="1">
      <c r="A4" s="87"/>
      <c r="B4" s="90" t="s">
        <v>219</v>
      </c>
      <c r="C4" s="84"/>
      <c r="D4" s="90" t="s">
        <v>0</v>
      </c>
      <c r="E4" s="84"/>
      <c r="F4" s="81" t="s">
        <v>203</v>
      </c>
      <c r="G4" s="91"/>
    </row>
    <row r="5" spans="1:7" ht="26.25" customHeight="1">
      <c r="A5" s="88"/>
      <c r="B5" s="92" t="s">
        <v>224</v>
      </c>
      <c r="C5" s="79" t="s">
        <v>220</v>
      </c>
      <c r="D5" s="94" t="s">
        <v>222</v>
      </c>
      <c r="E5" s="94"/>
      <c r="F5" s="94" t="s">
        <v>222</v>
      </c>
      <c r="G5" s="90"/>
    </row>
    <row r="6" spans="1:7" ht="26.25" customHeight="1">
      <c r="A6" s="89"/>
      <c r="B6" s="93"/>
      <c r="C6" s="80"/>
      <c r="D6" s="49">
        <v>2017</v>
      </c>
      <c r="E6" s="49">
        <v>2018</v>
      </c>
      <c r="F6" s="49" t="s">
        <v>177</v>
      </c>
      <c r="G6" s="45" t="s">
        <v>221</v>
      </c>
    </row>
    <row r="7" spans="1:7" ht="16.5" customHeight="1">
      <c r="A7" s="7" t="s">
        <v>184</v>
      </c>
      <c r="B7" s="43">
        <f>IF(436254.68473="","-",436254.68473)</f>
        <v>436254.68473</v>
      </c>
      <c r="C7" s="43">
        <f>IF(316064.44449="","-",436254.68473/316064.44449*100)</f>
        <v>138.02713096499616</v>
      </c>
      <c r="D7" s="43">
        <v>100</v>
      </c>
      <c r="E7" s="43">
        <v>100</v>
      </c>
      <c r="F7" s="43">
        <f>IF(255220.70381="","-",(316064.44449-255220.70381)/255220.70381*100)</f>
        <v>23.839657117039913</v>
      </c>
      <c r="G7" s="43">
        <f>IF(316064.44449="","-",(436254.68473-316064.44449)/316064.44449*100)</f>
        <v>38.02713096499618</v>
      </c>
    </row>
    <row r="8" spans="1:7" ht="13.5" customHeight="1">
      <c r="A8" s="8" t="s">
        <v>104</v>
      </c>
      <c r="B8" s="25"/>
      <c r="C8" s="25"/>
      <c r="D8" s="25"/>
      <c r="E8" s="25"/>
      <c r="F8" s="25"/>
      <c r="G8" s="25"/>
    </row>
    <row r="9" spans="1:10" ht="13.5" customHeight="1">
      <c r="A9" s="9" t="s">
        <v>32</v>
      </c>
      <c r="B9" s="23">
        <f>IF(106377.59207="","-",106377.59207)</f>
        <v>106377.59207</v>
      </c>
      <c r="C9" s="23">
        <f>IF(69845.77553="","-",106377.59207/69845.77553*100)</f>
        <v>152.30354486408265</v>
      </c>
      <c r="D9" s="23">
        <f>IF(69845.77553="","-",69845.77553/316064.44449*100)</f>
        <v>22.09858677482777</v>
      </c>
      <c r="E9" s="23">
        <f>IF(106377.59207="","-",106377.59207/436254.68473*100)</f>
        <v>24.384286471522383</v>
      </c>
      <c r="F9" s="23">
        <f>IF(255220.70381="","-",(69845.77553-52951.62811)/255220.70381*100)</f>
        <v>6.619426703163123</v>
      </c>
      <c r="G9" s="23">
        <f>IF(316064.44449="","-",(106377.59207-69845.77553)/316064.44449*100)</f>
        <v>11.558344248100273</v>
      </c>
      <c r="J9" s="29"/>
    </row>
    <row r="10" spans="1:10" s="16" customFormat="1" ht="13.5" customHeight="1">
      <c r="A10" s="14" t="s">
        <v>33</v>
      </c>
      <c r="B10" s="24">
        <f>IF(2712.84723="","-",2712.84723)</f>
        <v>2712.84723</v>
      </c>
      <c r="C10" s="24" t="s">
        <v>252</v>
      </c>
      <c r="D10" s="24">
        <f>IF(471.22545="","-",471.22545/316064.44449*100)</f>
        <v>0.14909157237232648</v>
      </c>
      <c r="E10" s="24">
        <f>IF(2712.84723="","-",2712.84723/436254.68473*100)</f>
        <v>0.6218494207526949</v>
      </c>
      <c r="F10" s="24">
        <f>IF(OR(255220.70381="",2213.32187="",471.22545=""),"-",(471.22545-2213.32187)/255220.70381*100)</f>
        <v>-0.682584286460126</v>
      </c>
      <c r="G10" s="24">
        <f>IF(OR(316064.44449="",2712.84723="",471.22545=""),"-",(2712.84723-471.22545)/316064.44449*100)</f>
        <v>0.7092293420150658</v>
      </c>
      <c r="J10" s="29"/>
    </row>
    <row r="11" spans="1:10" s="16" customFormat="1" ht="14.25" customHeight="1">
      <c r="A11" s="14" t="s">
        <v>34</v>
      </c>
      <c r="B11" s="24">
        <f>IF(1091.51591="","-",1091.51591)</f>
        <v>1091.51591</v>
      </c>
      <c r="C11" s="24">
        <f>IF(OR(1131.55202="",1091.51591=""),"-",1091.51591/1131.55202*100)</f>
        <v>96.46184096777097</v>
      </c>
      <c r="D11" s="24">
        <f>IF(1131.55202="","-",1131.55202/316064.44449*100)</f>
        <v>0.35801306971616714</v>
      </c>
      <c r="E11" s="24">
        <f>IF(1091.51591="","-",1091.51591/436254.68473*100)</f>
        <v>0.2502015332340888</v>
      </c>
      <c r="F11" s="24">
        <f>IF(OR(255220.70381="",617.28934="",1131.55202=""),"-",(1131.55202-617.28934)/255220.70381*100)</f>
        <v>0.20149724231731794</v>
      </c>
      <c r="G11" s="24">
        <f>IF(OR(316064.44449="",1091.51591="",1131.55202=""),"-",(1091.51591-1131.55202)/316064.44449*100)</f>
        <v>-0.01266707176272297</v>
      </c>
      <c r="J11" s="29"/>
    </row>
    <row r="12" spans="1:10" s="16" customFormat="1" ht="15.75">
      <c r="A12" s="14" t="s">
        <v>35</v>
      </c>
      <c r="B12" s="24">
        <f>IF(2450.67623="","-",2450.67623)</f>
        <v>2450.67623</v>
      </c>
      <c r="C12" s="24">
        <f>IF(OR(2266.69663="",2450.67623=""),"-",2450.67623/2266.69663*100)</f>
        <v>108.1166397640076</v>
      </c>
      <c r="D12" s="24">
        <f>IF(2266.69663="","-",2266.69663/316064.44449*100)</f>
        <v>0.7171628031927254</v>
      </c>
      <c r="E12" s="24">
        <f>IF(2450.67623="","-",2450.67623/436254.68473*100)</f>
        <v>0.5617535618022611</v>
      </c>
      <c r="F12" s="24">
        <f>IF(OR(255220.70381="",1607.76459="",2266.69663=""),"-",(2266.69663-1607.76459)/255220.70381*100)</f>
        <v>0.2581812643579826</v>
      </c>
      <c r="G12" s="24">
        <f>IF(OR(316064.44449="",2450.67623="",2266.69663=""),"-",(2450.67623-2266.69663)/316064.44449*100)</f>
        <v>0.058209521256612294</v>
      </c>
      <c r="J12" s="29"/>
    </row>
    <row r="13" spans="1:10" s="16" customFormat="1" ht="15.75">
      <c r="A13" s="14" t="s">
        <v>37</v>
      </c>
      <c r="B13" s="24">
        <f>IF(37016.81301="","-",37016.81301)</f>
        <v>37016.81301</v>
      </c>
      <c r="C13" s="24" t="s">
        <v>25</v>
      </c>
      <c r="D13" s="24">
        <f>IF(18370.16088="","-",18370.16088/316064.44449*100)</f>
        <v>5.812156729505591</v>
      </c>
      <c r="E13" s="24">
        <f>IF(37016.81301="","-",37016.81301/436254.68473*100)</f>
        <v>8.485138224454799</v>
      </c>
      <c r="F13" s="24">
        <f>IF(OR(255220.70381="",9308.74417="",18370.16088=""),"-",(18370.16088-9308.74417)/255220.70381*100)</f>
        <v>3.550423838947566</v>
      </c>
      <c r="G13" s="24">
        <f>IF(OR(316064.44449="",37016.81301="",18370.16088=""),"-",(37016.81301-18370.16088)/316064.44449*100)</f>
        <v>5.899636120123584</v>
      </c>
      <c r="J13" s="29"/>
    </row>
    <row r="14" spans="1:10" s="16" customFormat="1" ht="15" customHeight="1">
      <c r="A14" s="14" t="s">
        <v>38</v>
      </c>
      <c r="B14" s="24">
        <f>IF(52592.00857="","-",52592.00857)</f>
        <v>52592.00857</v>
      </c>
      <c r="C14" s="24">
        <f>IF(OR(38309.4046="",52592.00857=""),"-",52592.00857/38309.4046*100)</f>
        <v>137.2822394895691</v>
      </c>
      <c r="D14" s="24">
        <f>IF(38309.4046="","-",38309.4046/316064.44449*100)</f>
        <v>12.120757417625972</v>
      </c>
      <c r="E14" s="24">
        <f>IF(52592.00857="","-",52592.00857/436254.68473*100)</f>
        <v>12.055345285873418</v>
      </c>
      <c r="F14" s="24">
        <f>IF(OR(255220.70381="",31510.04196="",38309.4046=""),"-",(38309.4046-31510.04196)/255220.70381*100)</f>
        <v>2.6641109198812547</v>
      </c>
      <c r="G14" s="24">
        <f>IF(OR(316064.44449="",52592.00857="",38309.4046=""),"-",(52592.00857-38309.4046)/316064.44449*100)</f>
        <v>4.518889808389025</v>
      </c>
      <c r="J14" s="29"/>
    </row>
    <row r="15" spans="1:10" s="16" customFormat="1" ht="15.75" customHeight="1">
      <c r="A15" s="14" t="s">
        <v>39</v>
      </c>
      <c r="B15" s="24">
        <f>IF(4028.88234="","-",4028.88234)</f>
        <v>4028.88234</v>
      </c>
      <c r="C15" s="24">
        <f>IF(OR(4016.35256="",4028.88234=""),"-",4028.88234/4016.35256*100)</f>
        <v>100.31196912653506</v>
      </c>
      <c r="D15" s="24">
        <f>IF(4016.35256="","-",4016.35256/316064.44449*100)</f>
        <v>1.2707384933730101</v>
      </c>
      <c r="E15" s="24">
        <f>IF(4028.88234="","-",4028.88234/436254.68473*100)</f>
        <v>0.9235161205187961</v>
      </c>
      <c r="F15" s="24">
        <f>IF(OR(255220.70381="",3014.64982="",4016.35256=""),"-",(4016.35256-3014.64982)/255220.70381*100)</f>
        <v>0.392484906218941</v>
      </c>
      <c r="G15" s="24">
        <f>IF(OR(316064.44449="",4028.88234="",4016.35256=""),"-",(4028.88234-4016.35256)/316064.44449*100)</f>
        <v>0.00396431177832049</v>
      </c>
      <c r="J15" s="29"/>
    </row>
    <row r="16" spans="1:10" s="16" customFormat="1" ht="25.5">
      <c r="A16" s="14" t="s">
        <v>40</v>
      </c>
      <c r="B16" s="24">
        <f>IF(1642.31354="","-",1642.31354)</f>
        <v>1642.31354</v>
      </c>
      <c r="C16" s="24">
        <f>IF(OR(1420.34923="",1642.31354=""),"-",1642.31354/1420.34923*100)</f>
        <v>115.62744607535711</v>
      </c>
      <c r="D16" s="24">
        <f>IF(1420.34923="","-",1420.34923/316064.44449*100)</f>
        <v>0.44938595744037846</v>
      </c>
      <c r="E16" s="24">
        <f>IF(1642.31354="","-",1642.31354/436254.68473*100)</f>
        <v>0.37645751380674236</v>
      </c>
      <c r="F16" s="24">
        <f>IF(OR(255220.70381="",1253.39925="",1420.34923=""),"-",(1420.34923-1253.39925)/255220.70381*100)</f>
        <v>0.06541396427003297</v>
      </c>
      <c r="G16" s="24">
        <f>IF(OR(316064.44449="",1642.31354="",1420.34923=""),"-",(1642.31354-1420.34923)/316064.44449*100)</f>
        <v>0.07022754816922243</v>
      </c>
      <c r="J16" s="29"/>
    </row>
    <row r="17" spans="1:10" s="16" customFormat="1" ht="25.5">
      <c r="A17" s="14" t="s">
        <v>41</v>
      </c>
      <c r="B17" s="24">
        <f>IF(4537.30788="","-",4537.30788)</f>
        <v>4537.30788</v>
      </c>
      <c r="C17" s="24">
        <f>IF(OR(3614.78278="",4537.30788=""),"-",4537.30788/3614.78278*100)</f>
        <v>125.52090004146805</v>
      </c>
      <c r="D17" s="24">
        <f>IF(3614.78278="","-",3614.78278/316064.44449*100)</f>
        <v>1.1436853600640828</v>
      </c>
      <c r="E17" s="24">
        <f>IF(4537.30788="","-",4537.30788/436254.68473*100)</f>
        <v>1.0400594053925545</v>
      </c>
      <c r="F17" s="24">
        <f>IF(OR(255220.70381="",3203.21897="",3614.78278=""),"-",(3614.78278-3203.21897)/255220.70381*100)</f>
        <v>0.16125800291906972</v>
      </c>
      <c r="G17" s="24">
        <f>IF(OR(316064.44449="",4537.30788="",3614.78278=""),"-",(4537.30788-3614.78278)/316064.44449*100)</f>
        <v>0.29187879753085866</v>
      </c>
      <c r="J17" s="29"/>
    </row>
    <row r="18" spans="1:10" s="16" customFormat="1" ht="15.75">
      <c r="A18" s="14" t="s">
        <v>42</v>
      </c>
      <c r="B18" s="24">
        <f>IF(303.20659="","-",303.20659)</f>
        <v>303.20659</v>
      </c>
      <c r="C18" s="24">
        <f>IF(OR(243.56814="",303.20659=""),"-",303.20659/243.56814*100)</f>
        <v>124.48532472268337</v>
      </c>
      <c r="D18" s="24">
        <f>IF(243.56814="","-",243.56814/316064.44449*100)</f>
        <v>0.07706280926126326</v>
      </c>
      <c r="E18" s="24">
        <f>IF(303.20659="","-",303.20659/436254.68473*100)</f>
        <v>0.06950219690767469</v>
      </c>
      <c r="F18" s="24">
        <f>IF(OR(255220.70381="",221.84456="",243.56814=""),"-",(243.56814-221.84456)/255220.70381*100)</f>
        <v>0.008511684074099333</v>
      </c>
      <c r="G18" s="24">
        <f>IF(OR(316064.44449="",303.20659="",243.56814=""),"-",(303.20659-243.56814)/316064.44449*100)</f>
        <v>0.01886907908804241</v>
      </c>
      <c r="J18" s="29"/>
    </row>
    <row r="19" spans="1:7" s="16" customFormat="1" ht="15.75">
      <c r="A19" s="15" t="s">
        <v>43</v>
      </c>
      <c r="B19" s="23">
        <f>IF(33000.02428="","-",33000.02428)</f>
        <v>33000.02428</v>
      </c>
      <c r="C19" s="23">
        <f>IF(23499.27534="","-",33000.02428/23499.27534*100)</f>
        <v>140.4299656161227</v>
      </c>
      <c r="D19" s="23">
        <f>IF(23499.27534="","-",23499.27534/316064.44449*100)</f>
        <v>7.43496326450712</v>
      </c>
      <c r="E19" s="23">
        <f>IF(33000.02428="","-",33000.02428/436254.68473*100)</f>
        <v>7.564394248378986</v>
      </c>
      <c r="F19" s="23">
        <f>IF(255220.70381="","-",(23499.27534-21384.86324)/255220.70381*100)</f>
        <v>0.828464175686187</v>
      </c>
      <c r="G19" s="23">
        <f>IF(316064.44449="","-",(33000.02428-23499.27534)/316064.44449*100)</f>
        <v>3.0059530914115817</v>
      </c>
    </row>
    <row r="20" spans="1:7" s="16" customFormat="1" ht="15.75">
      <c r="A20" s="14" t="s">
        <v>44</v>
      </c>
      <c r="B20" s="24">
        <f>IF(29677.86793="","-",29677.86793)</f>
        <v>29677.86793</v>
      </c>
      <c r="C20" s="24">
        <f>IF(OR(21373.51559="",29677.86793=""),"-",29677.86793/21373.51559*100)</f>
        <v>138.85346940250366</v>
      </c>
      <c r="D20" s="24">
        <f>IF(21373.51559="","-",21373.51559/316064.44449*100)</f>
        <v>6.762391645946825</v>
      </c>
      <c r="E20" s="24">
        <f>IF(29677.86793="","-",29677.86793/436254.68473*100)</f>
        <v>6.802876615151483</v>
      </c>
      <c r="F20" s="24">
        <f>IF(OR(255220.70381="",19479.8096="",21373.51559=""),"-",(21373.51559-19479.8096)/255220.70381*100)</f>
        <v>0.7419876059153002</v>
      </c>
      <c r="G20" s="24">
        <f>IF(OR(316064.44449="",29677.86793="",21373.51559=""),"-",(29677.86793-21373.51559)/316064.44449*100)</f>
        <v>2.627423769035414</v>
      </c>
    </row>
    <row r="21" spans="1:7" s="16" customFormat="1" ht="15.75">
      <c r="A21" s="14" t="s">
        <v>45</v>
      </c>
      <c r="B21" s="24">
        <f>IF(3322.15635="","-",3322.15635)</f>
        <v>3322.15635</v>
      </c>
      <c r="C21" s="24" t="s">
        <v>201</v>
      </c>
      <c r="D21" s="24">
        <f>IF(2125.75975="","-",2125.75975/316064.44449*100)</f>
        <v>0.6725716185602957</v>
      </c>
      <c r="E21" s="24">
        <f>IF(3322.15635="","-",3322.15635/436254.68473*100)</f>
        <v>0.7615176332275029</v>
      </c>
      <c r="F21" s="24">
        <f>IF(OR(255220.70381="",1905.05364="",2125.75975=""),"-",(2125.75975-1905.05364)/255220.70381*100)</f>
        <v>0.08647656977088566</v>
      </c>
      <c r="G21" s="24">
        <f>IF(OR(316064.44449="",3322.15635="",2125.75975=""),"-",(3322.15635-2125.75975)/316064.44449*100)</f>
        <v>0.37852932237616904</v>
      </c>
    </row>
    <row r="22" spans="1:7" s="16" customFormat="1" ht="25.5">
      <c r="A22" s="15" t="s">
        <v>46</v>
      </c>
      <c r="B22" s="23">
        <f>IF(58259.82568="","-",58259.82568)</f>
        <v>58259.82568</v>
      </c>
      <c r="C22" s="23">
        <f>IF(41171.20453="","-",58259.82568/41171.20453*100)</f>
        <v>141.50624531169137</v>
      </c>
      <c r="D22" s="23">
        <f>IF(41171.20453="","-",41171.20453/316064.44449*100)</f>
        <v>13.026205651329636</v>
      </c>
      <c r="E22" s="23">
        <f>IF(58259.82568="","-",58259.82568/436254.68473*100)</f>
        <v>13.354544425364114</v>
      </c>
      <c r="F22" s="23">
        <f>IF(255220.70381="","-",(41171.20453-23207.65106)/255220.70381*100)</f>
        <v>7.038438967464425</v>
      </c>
      <c r="G22" s="23">
        <f>IF(316064.44449="","-",(58259.82568-41171.20453)/316064.44449*100)</f>
        <v>5.406688872446286</v>
      </c>
    </row>
    <row r="23" spans="1:8" s="16" customFormat="1" ht="15.75">
      <c r="A23" s="14" t="s">
        <v>47</v>
      </c>
      <c r="B23" s="24">
        <f>IF(828.05571="","-",828.05571)</f>
        <v>828.05571</v>
      </c>
      <c r="C23" s="24" t="s">
        <v>200</v>
      </c>
      <c r="D23" s="24">
        <f>IF(479.66608="","-",479.66608/316064.44449*100)</f>
        <v>0.1517621131899182</v>
      </c>
      <c r="E23" s="24">
        <f>IF(828.05571="","-",828.05571/436254.68473*100)</f>
        <v>0.18981015883244612</v>
      </c>
      <c r="F23" s="24">
        <f>IF(OR(255220.70381="",626.96358="",479.66608=""),"-",(479.66608-626.96358)/255220.70381*100)</f>
        <v>-0.05771377392237587</v>
      </c>
      <c r="G23" s="24">
        <f>IF(OR(316064.44449="",828.05571="",479.66608=""),"-",(828.05571-479.66608)/316064.44449*100)</f>
        <v>0.11022740332660944</v>
      </c>
      <c r="H23" s="12"/>
    </row>
    <row r="24" spans="1:8" s="16" customFormat="1" ht="15.75">
      <c r="A24" s="14" t="s">
        <v>48</v>
      </c>
      <c r="B24" s="24">
        <f>IF(52229.21884="","-",52229.21884)</f>
        <v>52229.21884</v>
      </c>
      <c r="C24" s="24">
        <f>IF(OR(36155.22161="",52229.21884=""),"-",52229.21884/36155.22161*100)</f>
        <v>144.45830094304876</v>
      </c>
      <c r="D24" s="24">
        <f>IF(36155.22161="","-",36155.22161/316064.44449*100)</f>
        <v>11.439192936851812</v>
      </c>
      <c r="E24" s="24">
        <f>IF(52229.21884="","-",52229.21884/436254.68473*100)</f>
        <v>11.972185209271712</v>
      </c>
      <c r="F24" s="24">
        <f>IF(OR(255220.70381="",19649.48844="",36155.22161=""),"-",(36155.22161-19649.48844)/255220.70381*100)</f>
        <v>6.467239108582568</v>
      </c>
      <c r="G24" s="24">
        <f>IF(OR(316064.44449="",52229.21884="",36155.22161=""),"-",(52229.21884-36155.22161)/316064.44449*100)</f>
        <v>5.085670821321557</v>
      </c>
      <c r="H24" s="13"/>
    </row>
    <row r="25" spans="1:8" s="16" customFormat="1" ht="15.75">
      <c r="A25" s="14" t="s">
        <v>50</v>
      </c>
      <c r="B25" s="24">
        <f>IF(98.17815="","-",98.17815)</f>
        <v>98.17815</v>
      </c>
      <c r="C25" s="24" t="s">
        <v>253</v>
      </c>
      <c r="D25" s="24">
        <f>IF(14.53382="","-",14.53382/316064.44449*100)</f>
        <v>0.004598372342530238</v>
      </c>
      <c r="E25" s="24">
        <f>IF(98.17815="","-",98.17815/436254.68473*100)</f>
        <v>0.022504778386680916</v>
      </c>
      <c r="F25" s="24">
        <f>IF(OR(255220.70381="",258.27269="",14.53382=""),"-",(14.53382-258.27269)/255220.70381*100)</f>
        <v>-0.09550121379707985</v>
      </c>
      <c r="G25" s="24">
        <f>IF(OR(316064.44449="",98.17815="",14.53382=""),"-",(98.17815-14.53382)/316064.44449*100)</f>
        <v>0.02646432759463598</v>
      </c>
      <c r="H25" s="13"/>
    </row>
    <row r="26" spans="1:8" s="16" customFormat="1" ht="15.75">
      <c r="A26" s="14" t="s">
        <v>51</v>
      </c>
      <c r="B26" s="24">
        <f>IF(505.88084="","-",505.88084)</f>
        <v>505.88084</v>
      </c>
      <c r="C26" s="24">
        <f>IF(OR(380.50968="",505.88084=""),"-",505.88084/380.50968*100)</f>
        <v>132.94821829499844</v>
      </c>
      <c r="D26" s="24">
        <f>IF(380.50968="","-",380.50968/316064.44449*100)</f>
        <v>0.12038990358880401</v>
      </c>
      <c r="E26" s="24">
        <f>IF(505.88084="","-",505.88084/436254.68473*100)</f>
        <v>0.11595997881675288</v>
      </c>
      <c r="F26" s="24">
        <f>IF(OR(255220.70381="",380.89522="",380.50968=""),"-",(380.50968-380.89522)/255220.70381*100)</f>
        <v>-0.00015106141243423907</v>
      </c>
      <c r="G26" s="24">
        <f>IF(OR(316064.44449="",505.88084="",380.50968=""),"-",(505.88084-380.50968)/316064.44449*100)</f>
        <v>0.03966632823957729</v>
      </c>
      <c r="H26" s="13"/>
    </row>
    <row r="27" spans="1:8" s="16" customFormat="1" ht="38.25">
      <c r="A27" s="14" t="s">
        <v>52</v>
      </c>
      <c r="B27" s="24">
        <f>IF(42.11547="","-",42.11547)</f>
        <v>42.11547</v>
      </c>
      <c r="C27" s="24">
        <f>IF(OR(41.45193="",42.11547=""),"-",42.11547/41.45193*100)</f>
        <v>101.6007457312603</v>
      </c>
      <c r="D27" s="24">
        <f>IF(41.45193="","-",41.45193/316064.44449*100)</f>
        <v>0.013115024711775669</v>
      </c>
      <c r="E27" s="24">
        <f>IF(42.11547="","-",42.11547/436254.68473*100)</f>
        <v>0.009653872261810886</v>
      </c>
      <c r="F27" s="24">
        <f>IF(OR(255220.70381="",45.0253="",41.45193=""),"-",(41.45193-45.0253)/255220.70381*100)</f>
        <v>-0.001400109766431885</v>
      </c>
      <c r="G27" s="24">
        <f>IF(OR(316064.44449="",42.11547="",41.45193=""),"-",(42.11547-41.45193)/316064.44449*100)</f>
        <v>0.00020993819822748153</v>
      </c>
      <c r="H27" s="13"/>
    </row>
    <row r="28" spans="1:8" s="16" customFormat="1" ht="38.25">
      <c r="A28" s="14" t="s">
        <v>53</v>
      </c>
      <c r="B28" s="24">
        <f>IF(1351.03246="","-",1351.03246)</f>
        <v>1351.03246</v>
      </c>
      <c r="C28" s="24">
        <f>IF(OR(984.68994="",1351.03246=""),"-",1351.03246/984.68994*100)</f>
        <v>137.20384510072276</v>
      </c>
      <c r="D28" s="24">
        <f>IF(984.68994="","-",984.68994/316064.44449*100)</f>
        <v>0.3115472041117724</v>
      </c>
      <c r="E28" s="24">
        <f>IF(1351.03246="","-",1351.03246/436254.68473*100)</f>
        <v>0.3096889288045491</v>
      </c>
      <c r="F28" s="24">
        <f>IF(OR(255220.70381="",397.88159="",984.68994=""),"-",(984.68994-397.88159)/255220.70381*100)</f>
        <v>0.22992192296313532</v>
      </c>
      <c r="G28" s="24">
        <f>IF(OR(316064.44449="",1351.03246="",984.68994=""),"-",(1351.03246-984.68994)/316064.44449*100)</f>
        <v>0.11590753923337639</v>
      </c>
      <c r="H28" s="13"/>
    </row>
    <row r="29" spans="1:8" s="16" customFormat="1" ht="14.25" customHeight="1">
      <c r="A29" s="14" t="s">
        <v>54</v>
      </c>
      <c r="B29" s="24">
        <f>IF(2541.66387="","-",2541.66387)</f>
        <v>2541.66387</v>
      </c>
      <c r="C29" s="24">
        <f>IF(OR(2754.10196="",2541.66387=""),"-",2541.66387/2754.10196*100)</f>
        <v>92.28648419392577</v>
      </c>
      <c r="D29" s="24">
        <f>IF(2754.10196="","-",2754.10196/316064.44449*100)</f>
        <v>0.8713735467600618</v>
      </c>
      <c r="E29" s="24">
        <f>IF(2541.66387="","-",2541.66387/436254.68473*100)</f>
        <v>0.5826101034474959</v>
      </c>
      <c r="F29" s="24">
        <f>IF(OR(255220.70381="",1635.85094="",2754.10196=""),"-",(2754.10196-1635.85094)/255220.70381*100)</f>
        <v>0.4381505901780155</v>
      </c>
      <c r="G29" s="24">
        <f>IF(OR(316064.44449="",2541.66387="",2754.10196=""),"-",(2541.66387-2754.10196)/316064.44449*100)</f>
        <v>-0.06721353625928697</v>
      </c>
      <c r="H29" s="13"/>
    </row>
    <row r="30" spans="1:8" s="16" customFormat="1" ht="25.5">
      <c r="A30" s="14" t="s">
        <v>55</v>
      </c>
      <c r="B30" s="24">
        <f>IF(663.64749="","-",663.64749)</f>
        <v>663.64749</v>
      </c>
      <c r="C30" s="24" t="s">
        <v>199</v>
      </c>
      <c r="D30" s="24">
        <f>IF(360.66224="","-",360.66224/316064.44449*100)</f>
        <v>0.11411034878724266</v>
      </c>
      <c r="E30" s="24">
        <f>IF(663.64749="","-",663.64749/436254.68473*100)</f>
        <v>0.15212386553756652</v>
      </c>
      <c r="F30" s="24">
        <f>IF(OR(255220.70381="",213.2733="",360.66224=""),"-",(360.66224-213.2733)/255220.70381*100)</f>
        <v>0.0577496017367479</v>
      </c>
      <c r="G30" s="24">
        <f>IF(OR(316064.44449="",663.64749="",360.66224=""),"-",(663.64749-360.66224)/316064.44449*100)</f>
        <v>0.09586185832730898</v>
      </c>
      <c r="H30" s="13"/>
    </row>
    <row r="31" spans="1:8" s="16" customFormat="1" ht="25.5">
      <c r="A31" s="15" t="s">
        <v>56</v>
      </c>
      <c r="B31" s="23">
        <f>IF(1547.44913="","-",1547.44913)</f>
        <v>1547.44913</v>
      </c>
      <c r="C31" s="23">
        <f>IF(1755.04289="","-",1547.44913/1755.04289*100)</f>
        <v>88.17158479813561</v>
      </c>
      <c r="D31" s="23">
        <f>IF(1755.04289="","-",1755.04289/316064.44449*100)</f>
        <v>0.5552800767678655</v>
      </c>
      <c r="E31" s="23">
        <f>IF(1547.44913="","-",1547.44913/436254.68473*100)</f>
        <v>0.35471232382472256</v>
      </c>
      <c r="F31" s="23">
        <f>IF(255220.70381="","-",(1755.04289-812.28819)/255220.70381*100)</f>
        <v>0.3693880182627492</v>
      </c>
      <c r="G31" s="23">
        <f>IF(316064.44449="","-",(1547.44913-1755.04289)/316064.44449*100)</f>
        <v>-0.06568083301333442</v>
      </c>
      <c r="H31" s="13"/>
    </row>
    <row r="32" spans="1:8" s="16" customFormat="1" ht="25.5">
      <c r="A32" s="14" t="s">
        <v>58</v>
      </c>
      <c r="B32" s="24">
        <f>IF(1523.65866="","-",1523.65866)</f>
        <v>1523.65866</v>
      </c>
      <c r="C32" s="24">
        <f>IF(OR(1753.98363="",1523.65866=""),"-",1523.65866/1753.98363*100)</f>
        <v>86.86846524331587</v>
      </c>
      <c r="D32" s="24">
        <f>IF(1753.98363="","-",1753.98363/316064.44449*100)</f>
        <v>0.5549449362550789</v>
      </c>
      <c r="E32" s="24">
        <f>IF(1523.65866="","-",1523.65866/436254.68473*100)</f>
        <v>0.3492589795208731</v>
      </c>
      <c r="F32" s="24">
        <f>IF(OR(255220.70381="",811.04557="",1753.98363=""),"-",(1753.98363-811.04557)/255220.70381*100)</f>
        <v>0.36945986196400965</v>
      </c>
      <c r="G32" s="24">
        <f>IF(OR(316064.44449="",1523.65866="",1753.98363=""),"-",(1523.65866-1753.98363)/316064.44449*100)</f>
        <v>-0.07287278718479426</v>
      </c>
      <c r="H32" s="13"/>
    </row>
    <row r="33" spans="1:7" s="16" customFormat="1" ht="27" customHeight="1">
      <c r="A33" s="15" t="s">
        <v>61</v>
      </c>
      <c r="B33" s="23">
        <f>IF(14437.5627="","-",14437.5627)</f>
        <v>14437.5627</v>
      </c>
      <c r="C33" s="23">
        <f>IF(12623.90614="","-",14437.5627/12623.90614*100)</f>
        <v>114.36684129212007</v>
      </c>
      <c r="D33" s="23">
        <f>IF(12623.90614="","-",12623.90614/316064.44449*100)</f>
        <v>3.9940924580649586</v>
      </c>
      <c r="E33" s="23">
        <f>IF(14437.5627="","-",14437.5627/436254.68473*100)</f>
        <v>3.3094344210734317</v>
      </c>
      <c r="F33" s="23">
        <f>IF(255220.70381="","-",(12623.90614-9378.53688)/255220.70381*100)</f>
        <v>1.2715932569545874</v>
      </c>
      <c r="G33" s="23">
        <f>IF(316064.44449="","-",(14437.5627-12623.90614)/316064.44449*100)</f>
        <v>0.5738249245107302</v>
      </c>
    </row>
    <row r="34" spans="1:7" s="16" customFormat="1" ht="25.5">
      <c r="A34" s="14" t="s">
        <v>63</v>
      </c>
      <c r="B34" s="24">
        <f>IF(14429.32924="","-",14429.32924)</f>
        <v>14429.32924</v>
      </c>
      <c r="C34" s="24">
        <f>IF(OR(12623.65594="",14429.32924=""),"-",14429.32924/12623.65594*100)</f>
        <v>114.30388556676712</v>
      </c>
      <c r="D34" s="24">
        <f>IF(12623.65594="","-",12623.65594/316064.44449*100)</f>
        <v>3.9940132969937405</v>
      </c>
      <c r="E34" s="24">
        <f>IF(14429.32924="","-",14429.32924/436254.68473*100)</f>
        <v>3.3075471152660234</v>
      </c>
      <c r="F34" s="24">
        <f>IF(OR(255220.70381="",9376.53688="",12623.65594=""),"-",(12623.65594-9376.53688)/255220.70381*100)</f>
        <v>1.2722788596403725</v>
      </c>
      <c r="G34" s="24">
        <f>IF(OR(316064.44449="",14429.32924="",12623.65594=""),"-",(14429.32924-12623.65594)/316064.44449*100)</f>
        <v>0.5712990915234467</v>
      </c>
    </row>
    <row r="35" spans="1:7" s="16" customFormat="1" ht="25.5">
      <c r="A35" s="15" t="s">
        <v>65</v>
      </c>
      <c r="B35" s="23">
        <f>IF(21859.21668="","-",21859.21668)</f>
        <v>21859.21668</v>
      </c>
      <c r="C35" s="23">
        <f>IF(16290.85625="","-",21859.21668/16290.85625*100)</f>
        <v>134.18089475806406</v>
      </c>
      <c r="D35" s="23">
        <f>IF(16290.85625="","-",16290.85625/316064.44449*100)</f>
        <v>5.154283100804598</v>
      </c>
      <c r="E35" s="23">
        <f>IF(21859.21668="","-",21859.21668/436254.68473*100)</f>
        <v>5.010654886956405</v>
      </c>
      <c r="F35" s="23">
        <f>IF(255220.70381="","-",(16290.85625-13823.27531)/255220.70381*100)</f>
        <v>0.9668419932878954</v>
      </c>
      <c r="G35" s="23">
        <f>IF(316064.44449="","-",(21859.21668-16290.85625)/316064.44449*100)</f>
        <v>1.7617800822187002</v>
      </c>
    </row>
    <row r="36" spans="1:7" s="16" customFormat="1" ht="15.75">
      <c r="A36" s="14" t="s">
        <v>66</v>
      </c>
      <c r="B36" s="24">
        <f>IF(3156.60396="","-",3156.60396)</f>
        <v>3156.60396</v>
      </c>
      <c r="C36" s="24">
        <f>IF(OR(3794.84307="",3156.60396=""),"-",3156.60396/3794.84307*100)</f>
        <v>83.18140965971487</v>
      </c>
      <c r="D36" s="24">
        <f>IF(3794.84307="","-",3794.84307/316064.44449*100)</f>
        <v>1.2006548462366085</v>
      </c>
      <c r="E36" s="24">
        <f>IF(3156.60396="","-",3156.60396/436254.68473*100)</f>
        <v>0.7235690688235559</v>
      </c>
      <c r="F36" s="24">
        <f>IF(OR(255220.70381="",2642.25061="",3794.84307=""),"-",(3794.84307-2642.25061)/255220.70381*100)</f>
        <v>0.45160617567219447</v>
      </c>
      <c r="G36" s="24">
        <f>IF(OR(316064.44449="",3156.60396="",3794.84307=""),"-",(3156.60396-3794.84307)/316064.44449*100)</f>
        <v>-0.20193321998931557</v>
      </c>
    </row>
    <row r="37" spans="1:7" s="16" customFormat="1" ht="15.75">
      <c r="A37" s="14" t="s">
        <v>67</v>
      </c>
      <c r="B37" s="24">
        <f>IF(71.4007="","-",71.4007)</f>
        <v>71.4007</v>
      </c>
      <c r="C37" s="24">
        <f>IF(OR(156.40196="",71.4007=""),"-",71.4007/156.40196*100)</f>
        <v>45.652049373294304</v>
      </c>
      <c r="D37" s="24">
        <f>IF(156.40196="","-",156.40196/316064.44449*100)</f>
        <v>0.04948419941773881</v>
      </c>
      <c r="E37" s="24">
        <f>IF(71.4007="","-",71.4007/436254.68473*100)</f>
        <v>0.01636674687956422</v>
      </c>
      <c r="F37" s="24">
        <f>IF(OR(255220.70381="",75.96044="",156.40196=""),"-",(156.40196-75.96044)/255220.70381*100)</f>
        <v>0.03151841476774744</v>
      </c>
      <c r="G37" s="24">
        <f>IF(OR(316064.44449="",71.4007="",156.40196=""),"-",(71.4007-156.40196)/316064.44449*100)</f>
        <v>-0.02689364826757328</v>
      </c>
    </row>
    <row r="38" spans="1:7" s="16" customFormat="1" ht="15.75">
      <c r="A38" s="14" t="s">
        <v>68</v>
      </c>
      <c r="B38" s="24">
        <f>IF(138.97578="","-",138.97578)</f>
        <v>138.97578</v>
      </c>
      <c r="C38" s="24" t="s">
        <v>179</v>
      </c>
      <c r="D38" s="24">
        <f>IF(55.95617="","-",55.95617/316064.44449*100)</f>
        <v>0.017704038203439992</v>
      </c>
      <c r="E38" s="24">
        <f>IF(138.97578="","-",138.97578/436254.68473*100)</f>
        <v>0.03185657022480176</v>
      </c>
      <c r="F38" s="24">
        <f>IF(OR(255220.70381="",261.46228="",55.95617=""),"-",(55.95617-261.46228)/255220.70381*100)</f>
        <v>-0.08052094008524865</v>
      </c>
      <c r="G38" s="24">
        <f>IF(OR(316064.44449="",138.97578="",55.95617=""),"-",(138.97578-55.95617)/316064.44449*100)</f>
        <v>0.026266671701703114</v>
      </c>
    </row>
    <row r="39" spans="1:7" s="16" customFormat="1" ht="15.75">
      <c r="A39" s="14" t="s">
        <v>69</v>
      </c>
      <c r="B39" s="24">
        <f>IF(12625.04867="","-",12625.04867)</f>
        <v>12625.04867</v>
      </c>
      <c r="C39" s="24" t="s">
        <v>200</v>
      </c>
      <c r="D39" s="24">
        <f>IF(7240.16064="","-",7240.16064/316064.44449*100)</f>
        <v>2.2907229099061386</v>
      </c>
      <c r="E39" s="24">
        <f>IF(12625.04867="","-",12625.04867/436254.68473*100)</f>
        <v>2.8939628872555723</v>
      </c>
      <c r="F39" s="24">
        <f>IF(OR(255220.70381="",2666.70723="",7240.16064=""),"-",(7240.16064-2666.70723)/255220.70381*100)</f>
        <v>1.7919601904259008</v>
      </c>
      <c r="G39" s="24">
        <f>IF(OR(316064.44449="",12625.04867="",7240.16064=""),"-",(12625.04867-7240.16064)/316064.44449*100)</f>
        <v>1.7037310345644947</v>
      </c>
    </row>
    <row r="40" spans="1:7" s="16" customFormat="1" ht="38.25">
      <c r="A40" s="14" t="s">
        <v>70</v>
      </c>
      <c r="B40" s="24">
        <f>IF(4777.18388="","-",4777.18388)</f>
        <v>4777.18388</v>
      </c>
      <c r="C40" s="24">
        <f>IF(OR(4121.84957="",4777.18388=""),"-",4777.18388/4121.84957*100)</f>
        <v>115.89903510234119</v>
      </c>
      <c r="D40" s="24">
        <f>IF(4121.84957="","-",4121.84957/316064.44449*100)</f>
        <v>1.3041168160028236</v>
      </c>
      <c r="E40" s="24">
        <f>IF(4777.18388="","-",4777.18388/436254.68473*100)</f>
        <v>1.095044717504093</v>
      </c>
      <c r="F40" s="24">
        <f>IF(OR(255220.70381="",6744.83754="",4121.84957=""),"-",(4121.84957-6744.83754)/255220.70381*100)</f>
        <v>-1.0277332249474138</v>
      </c>
      <c r="G40" s="24">
        <f>IF(OR(316064.44449="",4777.18388="",4121.84957=""),"-",(4777.18388-4121.84957)/316064.44449*100)</f>
        <v>0.20734199035182316</v>
      </c>
    </row>
    <row r="41" spans="1:7" s="16" customFormat="1" ht="15.75">
      <c r="A41" s="14" t="s">
        <v>72</v>
      </c>
      <c r="B41" s="24">
        <f>IF(437.36809="","-",437.36809)</f>
        <v>437.36809</v>
      </c>
      <c r="C41" s="24" t="s">
        <v>194</v>
      </c>
      <c r="D41" s="24">
        <f>IF(139.5855="","-",139.5855/316064.44449*100)</f>
        <v>0.04416361993049691</v>
      </c>
      <c r="E41" s="24">
        <f>IF(437.36809="","-",437.36809/436254.68473*100)</f>
        <v>0.1002552190976904</v>
      </c>
      <c r="F41" s="24">
        <f>IF(OR(255220.70381="",300.4359="",139.5855=""),"-",(139.5855-300.4359)/255220.70381*100)</f>
        <v>-0.06302404060438047</v>
      </c>
      <c r="G41" s="24">
        <f>IF(OR(316064.44449="",437.36809="",139.5855=""),"-",(437.36809-139.5855)/316064.44449*100)</f>
        <v>0.09421578263271609</v>
      </c>
    </row>
    <row r="42" spans="1:7" s="16" customFormat="1" ht="15.75">
      <c r="A42" s="14" t="s">
        <v>73</v>
      </c>
      <c r="B42" s="24">
        <f>IF(277.38327="","-",277.38327)</f>
        <v>277.38327</v>
      </c>
      <c r="C42" s="24">
        <f>IF(OR(449.02398="",277.38327=""),"-",277.38327/449.02398*100)</f>
        <v>61.774711898460296</v>
      </c>
      <c r="D42" s="24">
        <f>IF(449.02398="","-",449.02398/316064.44449*100)</f>
        <v>0.14206722326028884</v>
      </c>
      <c r="E42" s="24">
        <f>IF(277.38327="","-",277.38327/436254.68473*100)</f>
        <v>0.06358287479976833</v>
      </c>
      <c r="F42" s="24">
        <f>IF(OR(255220.70381="",344.36315="",449.02398=""),"-",(449.02398-344.36315)/255220.70381*100)</f>
        <v>0.04100797013627668</v>
      </c>
      <c r="G42" s="24">
        <f>IF(OR(316064.44449="",277.38327="",449.02398=""),"-",(277.38327-449.02398)/316064.44449*100)</f>
        <v>-0.05430560538910303</v>
      </c>
    </row>
    <row r="43" spans="1:7" s="16" customFormat="1" ht="15.75">
      <c r="A43" s="14" t="s">
        <v>74</v>
      </c>
      <c r="B43" s="24">
        <f>IF(375.25233="","-",375.25233)</f>
        <v>375.25233</v>
      </c>
      <c r="C43" s="24">
        <f>IF(OR(333.03536="",375.25233=""),"-",375.25233/333.03536*100)</f>
        <v>112.67642270778693</v>
      </c>
      <c r="D43" s="24">
        <f>IF(333.03536="","-",333.03536/316064.44449*100)</f>
        <v>0.10536944784706304</v>
      </c>
      <c r="E43" s="24">
        <f>IF(375.25233="","-",375.25233/436254.68473*100)</f>
        <v>0.08601680237135914</v>
      </c>
      <c r="F43" s="24">
        <f>IF(OR(255220.70381="",787.25816="",333.03536=""),"-",(333.03536-787.25816)/255220.70381*100)</f>
        <v>-0.17797255207718093</v>
      </c>
      <c r="G43" s="24">
        <f>IF(OR(316064.44449="",375.25233="",333.03536=""),"-",(375.25233-333.03536)/316064.44449*100)</f>
        <v>0.0133570766139548</v>
      </c>
    </row>
    <row r="44" spans="1:7" s="16" customFormat="1" ht="25.5">
      <c r="A44" s="15" t="s">
        <v>75</v>
      </c>
      <c r="B44" s="23">
        <f>IF(27504.55024="","-",27504.55024)</f>
        <v>27504.55024</v>
      </c>
      <c r="C44" s="23">
        <f>IF(23103.6202="","-",27504.55024/23103.6202*100)</f>
        <v>119.04865991521103</v>
      </c>
      <c r="D44" s="23">
        <f>IF(23103.6202="","-",23103.6202/316064.44449*100)</f>
        <v>7.309781471079383</v>
      </c>
      <c r="E44" s="23">
        <f>IF(27504.55024="","-",27504.55024/436254.68473*100)</f>
        <v>6.304700259441957</v>
      </c>
      <c r="F44" s="23">
        <f>IF(255220.70381="","-",(23103.6202-24067.16606)/255220.70381*100)</f>
        <v>-0.3775343636374084</v>
      </c>
      <c r="G44" s="23">
        <f>IF(316064.44449="","-",(27504.55024-23103.6202)/316064.44449*100)</f>
        <v>1.3924154129710216</v>
      </c>
    </row>
    <row r="45" spans="1:7" s="16" customFormat="1" ht="15.75">
      <c r="A45" s="14" t="s">
        <v>76</v>
      </c>
      <c r="B45" s="24">
        <f>IF(125.74923="","-",125.74923)</f>
        <v>125.74923</v>
      </c>
      <c r="C45" s="24">
        <f>IF(OR(279.19161="",125.74923=""),"-",125.74923/279.19161*100)</f>
        <v>45.04047596559222</v>
      </c>
      <c r="D45" s="24">
        <f>IF(279.19161="","-",279.19161/316064.44449*100)</f>
        <v>0.08833376068304746</v>
      </c>
      <c r="E45" s="24">
        <f>IF(125.74923="","-",125.74923/436254.68473*100)</f>
        <v>0.0288247288571415</v>
      </c>
      <c r="F45" s="24">
        <f>IF(OR(255220.70381="",205.4672="",279.19161=""),"-",(279.19161-205.4672)/255220.70381*100)</f>
        <v>0.028886531891583703</v>
      </c>
      <c r="G45" s="24">
        <f>IF(OR(316064.44449="",125.74923="",279.19161=""),"-",(125.74923-279.19161)/316064.44449*100)</f>
        <v>-0.04854781443309571</v>
      </c>
    </row>
    <row r="46" spans="1:7" s="16" customFormat="1" ht="15.75">
      <c r="A46" s="14" t="s">
        <v>77</v>
      </c>
      <c r="B46" s="24">
        <f>IF(180.21913="","-",180.21913)</f>
        <v>180.21913</v>
      </c>
      <c r="C46" s="24">
        <f>IF(OR(406.40965="",180.21913=""),"-",180.21913/406.40965*100)</f>
        <v>44.344205409492616</v>
      </c>
      <c r="D46" s="24">
        <f>IF(406.40965="","-",406.40965/316064.44449*100)</f>
        <v>0.1285844254502529</v>
      </c>
      <c r="E46" s="24">
        <f>IF(180.21913="","-",180.21913/436254.68473*100)</f>
        <v>0.041310531739398616</v>
      </c>
      <c r="F46" s="24">
        <f>IF(OR(255220.70381="",2613.15972="",406.40965=""),"-",(406.40965-2613.15972)/255220.70381*100)</f>
        <v>-0.864643830636414</v>
      </c>
      <c r="G46" s="24">
        <f>IF(OR(316064.44449="",180.21913="",406.40965=""),"-",(180.21913-406.40965)/316064.44449*100)</f>
        <v>-0.07156468370397684</v>
      </c>
    </row>
    <row r="47" spans="1:7" s="16" customFormat="1" ht="15.75">
      <c r="A47" s="14" t="s">
        <v>78</v>
      </c>
      <c r="B47" s="24">
        <f>IF(2413.54373="","-",2413.54373)</f>
        <v>2413.54373</v>
      </c>
      <c r="C47" s="24" t="s">
        <v>199</v>
      </c>
      <c r="D47" s="24">
        <f>IF(1341.146="","-",1341.146/316064.44449*100)</f>
        <v>0.42432675467943454</v>
      </c>
      <c r="E47" s="24">
        <f>IF(2413.54373="","-",2413.54373/436254.68473*100)</f>
        <v>0.5532419053548395</v>
      </c>
      <c r="F47" s="24">
        <f>IF(OR(255220.70381="",1314.56778="",1341.146=""),"-",(1341.146-1314.56778)/255220.70381*100)</f>
        <v>0.010413818159433541</v>
      </c>
      <c r="G47" s="24">
        <f>IF(OR(316064.44449="",2413.54373="",1341.146=""),"-",(2413.54373-1341.146)/316064.44449*100)</f>
        <v>0.33929717457792996</v>
      </c>
    </row>
    <row r="48" spans="1:7" s="16" customFormat="1" ht="25.5">
      <c r="A48" s="14" t="s">
        <v>79</v>
      </c>
      <c r="B48" s="24">
        <f>IF(1501.18771="","-",1501.18771)</f>
        <v>1501.18771</v>
      </c>
      <c r="C48" s="24" t="s">
        <v>200</v>
      </c>
      <c r="D48" s="24">
        <f>IF(903.92521="","-",903.92521/316064.44449*100)</f>
        <v>0.28599395653584797</v>
      </c>
      <c r="E48" s="24">
        <f>IF(1501.18771="","-",1501.18771/436254.68473*100)</f>
        <v>0.3441081007368647</v>
      </c>
      <c r="F48" s="24">
        <f>IF(OR(255220.70381="",972.75869="",903.92521=""),"-",(903.92521-972.75869)/255220.70381*100)</f>
        <v>-0.026970178740374974</v>
      </c>
      <c r="G48" s="24">
        <f>IF(OR(316064.44449="",1501.18771="",903.92521=""),"-",(1501.18771-903.92521)/316064.44449*100)</f>
        <v>0.1889685823293853</v>
      </c>
    </row>
    <row r="49" spans="1:7" s="16" customFormat="1" ht="25.5">
      <c r="A49" s="14" t="s">
        <v>80</v>
      </c>
      <c r="B49" s="24">
        <f>IF(12663.70578="","-",12663.70578)</f>
        <v>12663.70578</v>
      </c>
      <c r="C49" s="24">
        <f>IF(OR(12790.58591="",12663.70578=""),"-",12663.70578/12790.58591*100)</f>
        <v>99.00801940667314</v>
      </c>
      <c r="D49" s="24">
        <f>IF(12790.58591="","-",12790.58591/316064.44449*100)</f>
        <v>4.04682846583355</v>
      </c>
      <c r="E49" s="24">
        <f>IF(12663.70578="","-",12663.70578/436254.68473*100)</f>
        <v>2.902824020752379</v>
      </c>
      <c r="F49" s="24">
        <f>IF(OR(255220.70381="",11000.78868="",12790.58591=""),"-",(12790.58591-11000.78868)/255220.70381*100)</f>
        <v>0.7012743101486082</v>
      </c>
      <c r="G49" s="24">
        <f>IF(OR(316064.44449="",12663.70578="",12790.58591=""),"-",(12663.70578-12790.58591)/316064.44449*100)</f>
        <v>-0.04014375302629585</v>
      </c>
    </row>
    <row r="50" spans="1:7" s="16" customFormat="1" ht="15.75">
      <c r="A50" s="14" t="s">
        <v>81</v>
      </c>
      <c r="B50" s="24">
        <f>IF(6293.41349="","-",6293.41349)</f>
        <v>6293.41349</v>
      </c>
      <c r="C50" s="24" t="s">
        <v>200</v>
      </c>
      <c r="D50" s="24">
        <f>IF(3764.47444="","-",3764.47444/316064.44449*100)</f>
        <v>1.1910464798007687</v>
      </c>
      <c r="E50" s="24">
        <f>IF(6293.41349="","-",6293.41349/436254.68473*100)</f>
        <v>1.442600781214538</v>
      </c>
      <c r="F50" s="24">
        <f>IF(OR(255220.70381="",3966.39309="",3764.47444=""),"-",(3764.47444-3966.39309)/255220.70381*100)</f>
        <v>-0.0791153096068253</v>
      </c>
      <c r="G50" s="24">
        <f>IF(OR(316064.44449="",6293.41349="",3764.47444=""),"-",(6293.41349-3764.47444)/316064.44449*100)</f>
        <v>0.8001339897882798</v>
      </c>
    </row>
    <row r="51" spans="1:7" s="16" customFormat="1" ht="15.75">
      <c r="A51" s="14" t="s">
        <v>82</v>
      </c>
      <c r="B51" s="24">
        <f>IF(249.58454="","-",249.58454)</f>
        <v>249.58454</v>
      </c>
      <c r="C51" s="24">
        <f>IF(OR(203.31726="",249.58454=""),"-",249.58454/203.31726*100)</f>
        <v>122.75619885886717</v>
      </c>
      <c r="D51" s="24">
        <f>IF(203.31726="","-",203.31726/316064.44449*100)</f>
        <v>0.06432778616654325</v>
      </c>
      <c r="E51" s="24">
        <f>IF(249.58454="","-",249.58454/436254.68473*100)</f>
        <v>0.057210741508591255</v>
      </c>
      <c r="F51" s="24">
        <f>IF(OR(255220.70381="",369.40508="",203.31726=""),"-",(203.31726-369.40508)/255220.70381*100)</f>
        <v>-0.06507615468517973</v>
      </c>
      <c r="G51" s="24">
        <f>IF(OR(316064.44449="",249.58454="",203.31726=""),"-",(249.58454-203.31726)/316064.44449*100)</f>
        <v>0.01463855894156543</v>
      </c>
    </row>
    <row r="52" spans="1:7" s="16" customFormat="1" ht="15.75">
      <c r="A52" s="14" t="s">
        <v>83</v>
      </c>
      <c r="B52" s="24">
        <f>IF(308.0652="","-",308.0652)</f>
        <v>308.0652</v>
      </c>
      <c r="C52" s="24">
        <f>IF(OR(546.46359="",308.0652=""),"-",308.0652/546.46359*100)</f>
        <v>56.3743322771056</v>
      </c>
      <c r="D52" s="24">
        <f>IF(546.46359="","-",546.46359/316064.44449*100)</f>
        <v>0.17289625566133224</v>
      </c>
      <c r="E52" s="24">
        <f>IF(308.0652="","-",308.0652/436254.68473*100)</f>
        <v>0.07061590643792466</v>
      </c>
      <c r="F52" s="24">
        <f>IF(OR(255220.70381="",258.50769="",546.46359=""),"-",(546.46359-258.50769)/255220.70381*100)</f>
        <v>0.11282623067067857</v>
      </c>
      <c r="G52" s="24">
        <f>IF(OR(316064.44449="",308.0652="",546.46359=""),"-",(308.0652-546.46359)/316064.44449*100)</f>
        <v>-0.07542714600013879</v>
      </c>
    </row>
    <row r="53" spans="1:7" s="16" customFormat="1" ht="15.75">
      <c r="A53" s="14" t="s">
        <v>84</v>
      </c>
      <c r="B53" s="24">
        <f>IF(3769.08143="","-",3769.08143)</f>
        <v>3769.08143</v>
      </c>
      <c r="C53" s="24">
        <f>IF(OR(2868.10653="",3769.08143=""),"-",3769.08143/2868.10653*100)</f>
        <v>131.41357863021915</v>
      </c>
      <c r="D53" s="24">
        <f>IF(2868.10653="","-",2868.10653/316064.44449*100)</f>
        <v>0.9074435862686048</v>
      </c>
      <c r="E53" s="24">
        <f>IF(3769.08143="","-",3769.08143/436254.68473*100)</f>
        <v>0.8639635428402795</v>
      </c>
      <c r="F53" s="24">
        <f>IF(OR(255220.70381="",3366.11813="",2868.10653=""),"-",(2868.10653-3366.11813)/255220.70381*100)</f>
        <v>-0.1951297808389191</v>
      </c>
      <c r="G53" s="24">
        <f>IF(OR(316064.44449="",3769.08143="",2868.10653=""),"-",(3769.08143-2868.10653)/316064.44449*100)</f>
        <v>0.2850605044973688</v>
      </c>
    </row>
    <row r="54" spans="1:7" s="16" customFormat="1" ht="14.25" customHeight="1">
      <c r="A54" s="15" t="s">
        <v>85</v>
      </c>
      <c r="B54" s="23">
        <f>IF(76062.81435="","-",76062.81435)</f>
        <v>76062.81435</v>
      </c>
      <c r="C54" s="23">
        <f>IF(53446.2703="","-",76062.81435/53446.2703*100)</f>
        <v>142.3164122080938</v>
      </c>
      <c r="D54" s="23">
        <f>IF(53446.2703="","-",53446.2703/316064.44449*100)</f>
        <v>16.909928095911145</v>
      </c>
      <c r="E54" s="23">
        <f>IF(76062.81435="","-",76062.81435/436254.68473*100)</f>
        <v>17.435414910690444</v>
      </c>
      <c r="F54" s="23">
        <f>IF(255220.70381="","-",(53446.2703-40385.20575)/255220.70381*100)</f>
        <v>5.117556826315844</v>
      </c>
      <c r="G54" s="23">
        <f>IF(316064.44449="","-",(76062.81435-53446.2703)/316064.44449*100)</f>
        <v>7.155674877158025</v>
      </c>
    </row>
    <row r="55" spans="1:7" s="16" customFormat="1" ht="27.75" customHeight="1">
      <c r="A55" s="14" t="s">
        <v>86</v>
      </c>
      <c r="B55" s="24">
        <f>IF(464.4778="","-",464.4778)</f>
        <v>464.4778</v>
      </c>
      <c r="C55" s="24" t="s">
        <v>201</v>
      </c>
      <c r="D55" s="24">
        <f>IF(292.5541="","-",292.5541/316064.44449*100)</f>
        <v>0.09256153455415202</v>
      </c>
      <c r="E55" s="24">
        <f>IF(464.4778="","-",464.4778/436254.68473*100)</f>
        <v>0.10646941253764815</v>
      </c>
      <c r="F55" s="24">
        <f>IF(OR(255220.70381="",185.50574="",292.5541=""),"-",(292.5541-185.50574)/255220.70381*100)</f>
        <v>0.0419434467509707</v>
      </c>
      <c r="G55" s="24">
        <f>IF(OR(316064.44449="",464.4778="",292.5541=""),"-",(464.4778-292.5541)/316064.44449*100)</f>
        <v>0.05439514092684965</v>
      </c>
    </row>
    <row r="56" spans="1:7" s="16" customFormat="1" ht="25.5">
      <c r="A56" s="14" t="s">
        <v>87</v>
      </c>
      <c r="B56" s="24">
        <f>IF(2241.8918="","-",2241.8918)</f>
        <v>2241.8918</v>
      </c>
      <c r="C56" s="24" t="s">
        <v>194</v>
      </c>
      <c r="D56" s="24">
        <f>IF(728.56739="","-",728.56739/316064.44449*100)</f>
        <v>0.23051229035762397</v>
      </c>
      <c r="E56" s="24">
        <f>IF(2241.8918="","-",2241.8918/436254.68473*100)</f>
        <v>0.5138951806070614</v>
      </c>
      <c r="F56" s="24">
        <f>IF(OR(255220.70381="",1291.18611="",728.56739=""),"-",(728.56739-1291.18611)/255220.70381*100)</f>
        <v>-0.22044399674520276</v>
      </c>
      <c r="G56" s="24">
        <f>IF(OR(316064.44449="",2241.8918="",728.56739=""),"-",(2241.8918-728.56739)/316064.44449*100)</f>
        <v>0.47880248360168837</v>
      </c>
    </row>
    <row r="57" spans="1:7" s="16" customFormat="1" ht="25.5">
      <c r="A57" s="14" t="s">
        <v>88</v>
      </c>
      <c r="B57" s="24">
        <f>IF(286.15588="","-",286.15588)</f>
        <v>286.15588</v>
      </c>
      <c r="C57" s="24">
        <f>IF(OR(210.07462="",286.15588=""),"-",286.15588/210.07462*100)</f>
        <v>136.21630256905857</v>
      </c>
      <c r="D57" s="24">
        <f>IF(210.07462="","-",210.07462/316064.44449*100)</f>
        <v>0.06646575521614756</v>
      </c>
      <c r="E57" s="24">
        <f>IF(286.15588="","-",286.15588/436254.68473*100)</f>
        <v>0.065593766672581</v>
      </c>
      <c r="F57" s="24">
        <f>IF(OR(255220.70381="",177.06706="",210.07462=""),"-",(210.07462-177.06706)/255220.70381*100)</f>
        <v>0.012932947643844997</v>
      </c>
      <c r="G57" s="24">
        <f>IF(OR(316064.44449="",286.15588="",210.07462=""),"-",(286.15588-210.07462)/316064.44449*100)</f>
        <v>0.024071439013889823</v>
      </c>
    </row>
    <row r="58" spans="1:7" s="16" customFormat="1" ht="39" customHeight="1">
      <c r="A58" s="14" t="s">
        <v>89</v>
      </c>
      <c r="B58" s="24">
        <f>IF(2723.59149="","-",2723.59149)</f>
        <v>2723.59149</v>
      </c>
      <c r="C58" s="24">
        <f>IF(OR(3469.26055="",2723.59149=""),"-",2723.59149/3469.26055*100)</f>
        <v>78.5063978547244</v>
      </c>
      <c r="D58" s="24">
        <f>IF(3469.26055="","-",3469.26055/316064.44449*100)</f>
        <v>1.0976434111714088</v>
      </c>
      <c r="E58" s="24">
        <f>IF(2723.59149="","-",2723.59149/436254.68473*100)</f>
        <v>0.6243122619269161</v>
      </c>
      <c r="F58" s="24">
        <f>IF(OR(255220.70381="",3189.68557="",3469.26055=""),"-",(3469.26055-3189.68557)/255220.70381*100)</f>
        <v>0.1095424375164056</v>
      </c>
      <c r="G58" s="24">
        <f>IF(OR(316064.44449="",2723.59149="",3469.26055=""),"-",(2723.59149-3469.26055)/316064.44449*100)</f>
        <v>-0.23592310777101425</v>
      </c>
    </row>
    <row r="59" spans="1:7" s="16" customFormat="1" ht="27" customHeight="1">
      <c r="A59" s="14" t="s">
        <v>90</v>
      </c>
      <c r="B59" s="24">
        <f>IF(96.90791="","-",96.90791)</f>
        <v>96.90791</v>
      </c>
      <c r="C59" s="24">
        <f>IF(OR(107.00896="",96.90791=""),"-",96.90791/107.00896*100)</f>
        <v>90.56055679823447</v>
      </c>
      <c r="D59" s="24">
        <f>IF(107.00896="","-",107.00896/316064.44449*100)</f>
        <v>0.03385669026222456</v>
      </c>
      <c r="E59" s="24">
        <f>IF(96.90791="","-",96.90791/436254.68473*100)</f>
        <v>0.022213609020606106</v>
      </c>
      <c r="F59" s="24">
        <f>IF(OR(255220.70381="",120.25208="",107.00896=""),"-",(107.00896-120.25208)/255220.70381*100)</f>
        <v>-0.005188889381740321</v>
      </c>
      <c r="G59" s="24">
        <f>IF(OR(316064.44449="",96.90791="",107.00896=""),"-",(96.90791-107.00896)/316064.44449*100)</f>
        <v>-0.0031958830473003707</v>
      </c>
    </row>
    <row r="60" spans="1:7" s="16" customFormat="1" ht="39" customHeight="1">
      <c r="A60" s="14" t="s">
        <v>91</v>
      </c>
      <c r="B60" s="24">
        <f>IF(362.84236="","-",362.84236)</f>
        <v>362.84236</v>
      </c>
      <c r="C60" s="24">
        <f>IF(OR(421.26934="",362.84236=""),"-",362.84236/421.26934*100)</f>
        <v>86.13073052028899</v>
      </c>
      <c r="D60" s="24">
        <f>IF(421.26934="","-",421.26934/316064.44449*100)</f>
        <v>0.13328590018398243</v>
      </c>
      <c r="E60" s="24">
        <f>IF(362.84236="","-",362.84236/436254.68473*100)</f>
        <v>0.08317214065553583</v>
      </c>
      <c r="F60" s="24">
        <f>IF(OR(255220.70381="",231.50639="",421.26934=""),"-",(421.26934-231.50639)/255220.70381*100)</f>
        <v>0.07435249067460832</v>
      </c>
      <c r="G60" s="24">
        <f>IF(OR(316064.44449="",362.84236="",421.26934=""),"-",(362.84236-421.26934)/316064.44449*100)</f>
        <v>-0.01848578067497516</v>
      </c>
    </row>
    <row r="61" spans="1:7" s="16" customFormat="1" ht="40.5" customHeight="1">
      <c r="A61" s="14" t="s">
        <v>92</v>
      </c>
      <c r="B61" s="24">
        <f>IF(67244.57777="","-",67244.57777)</f>
        <v>67244.57777</v>
      </c>
      <c r="C61" s="24">
        <f>IF(OR(43551.49096="",67244.57777=""),"-",67244.57777/43551.49096*100)</f>
        <v>154.40247001362363</v>
      </c>
      <c r="D61" s="24">
        <f>IF(43551.49096="","-",43551.49096/316064.44449*100)</f>
        <v>13.779307264464519</v>
      </c>
      <c r="E61" s="24">
        <f>IF(67244.57777="","-",67244.57777/436254.68473*100)</f>
        <v>15.414064335290286</v>
      </c>
      <c r="F61" s="24">
        <f>IF(OR(255220.70381="",32109.4233="",43551.49096=""),"-",(43551.49096-32109.4233)/255220.70381*100)</f>
        <v>4.483205119800192</v>
      </c>
      <c r="G61" s="24">
        <f>IF(OR(316064.44449="",67244.57777="",43551.49096=""),"-",(67244.57777-43551.49096)/316064.44449*100)</f>
        <v>7.49628350263537</v>
      </c>
    </row>
    <row r="62" spans="1:7" s="16" customFormat="1" ht="25.5">
      <c r="A62" s="14" t="s">
        <v>93</v>
      </c>
      <c r="B62" s="24">
        <f>IF(2598.77778="","-",2598.77778)</f>
        <v>2598.77778</v>
      </c>
      <c r="C62" s="24">
        <f>IF(OR(4400.41758="",2598.77778=""),"-",2598.77778/4400.41758*100)</f>
        <v>59.0575265359248</v>
      </c>
      <c r="D62" s="24">
        <f>IF(4400.41758="","-",4400.41758/316064.44449*100)</f>
        <v>1.3922532751510508</v>
      </c>
      <c r="E62" s="24">
        <f>IF(2598.77778="","-",2598.77778/436254.68473*100)</f>
        <v>0.5957019766122157</v>
      </c>
      <c r="F62" s="24">
        <f>IF(OR(255220.70381="",2903.75488="",4400.41758=""),"-",(4400.41758-2903.75488)/255220.70381*100)</f>
        <v>0.5864190003622106</v>
      </c>
      <c r="G62" s="24">
        <f>IF(OR(316064.44449="",2598.77778="",4400.41758=""),"-",(2598.77778-4400.41758)/316064.44449*100)</f>
        <v>-0.5700229277314369</v>
      </c>
    </row>
    <row r="63" spans="1:7" s="16" customFormat="1" ht="15.75">
      <c r="A63" s="14" t="s">
        <v>94</v>
      </c>
      <c r="B63" s="24">
        <f>IF(43.59156="","-",43.59156)</f>
        <v>43.59156</v>
      </c>
      <c r="C63" s="24">
        <f>IF(OR(265.6268="",43.59156=""),"-",43.59156/265.6268*100)</f>
        <v>16.410829027793884</v>
      </c>
      <c r="D63" s="24">
        <f>IF(265.6268="","-",265.6268/316064.44449*100)</f>
        <v>0.08404197455003648</v>
      </c>
      <c r="E63" s="24">
        <f>IF(43.59156="","-",43.59156/436254.68473*100)</f>
        <v>0.009992227367593547</v>
      </c>
      <c r="F63" s="24">
        <f>IF(OR(255220.70381="",176.82462="",265.6268=""),"-",(265.6268-176.82462)/255220.70381*100)</f>
        <v>0.03479426969455782</v>
      </c>
      <c r="G63" s="24">
        <f>IF(OR(316064.44449="",43.59156="",265.6268=""),"-",(43.59156-265.6268)/316064.44449*100)</f>
        <v>-0.07024998979504794</v>
      </c>
    </row>
    <row r="64" spans="1:7" s="16" customFormat="1" ht="15.75">
      <c r="A64" s="15" t="s">
        <v>95</v>
      </c>
      <c r="B64" s="23">
        <f>IF(96951.94693="","-",96951.94693)</f>
        <v>96951.94693</v>
      </c>
      <c r="C64" s="23">
        <f>IF(74261.30115="","-",96951.94693/74261.30115*100)</f>
        <v>130.55514168027744</v>
      </c>
      <c r="D64" s="23">
        <f>IF(74261.30115="","-",74261.30115/316064.44449*100)</f>
        <v>23.495620100460098</v>
      </c>
      <c r="E64" s="23">
        <f>IF(96951.94693="","-",96951.94693/436254.68473*100)</f>
        <v>22.22370333742181</v>
      </c>
      <c r="F64" s="23">
        <f>IF(255220.70381="","-",(74261.30115-69194.0727)/255220.70381*100)</f>
        <v>1.9854300118897532</v>
      </c>
      <c r="G64" s="23">
        <f>IF(316064.44449="","-",(96951.94693-74261.30115)/316064.44449*100)</f>
        <v>7.17912001035533</v>
      </c>
    </row>
    <row r="65" spans="1:7" s="16" customFormat="1" ht="39.75" customHeight="1">
      <c r="A65" s="14" t="s">
        <v>96</v>
      </c>
      <c r="B65" s="24">
        <f>IF(1105.86828="","-",1105.86828)</f>
        <v>1105.86828</v>
      </c>
      <c r="C65" s="24">
        <f>IF(OR(1629.02751="",1105.86828=""),"-",1105.86828/1629.02751*100)</f>
        <v>67.88518138653164</v>
      </c>
      <c r="D65" s="24">
        <f>IF(1629.02751="","-",1629.02751/316064.44449*100)</f>
        <v>0.5154099230075025</v>
      </c>
      <c r="E65" s="24">
        <f>IF(1105.86828="","-",1105.86828/436254.68473*100)</f>
        <v>0.253491439452261</v>
      </c>
      <c r="F65" s="24">
        <f>IF(OR(255220.70381="",578.72808="",1629.02751=""),"-",(1629.02751-578.72808)/255220.70381*100)</f>
        <v>0.41152595158655286</v>
      </c>
      <c r="G65" s="24">
        <f>IF(OR(316064.44449="",1105.86828="",1629.02751=""),"-",(1105.86828-1629.02751)/316064.44449*100)</f>
        <v>-0.16552296188967636</v>
      </c>
    </row>
    <row r="66" spans="1:7" s="16" customFormat="1" ht="15.75">
      <c r="A66" s="14" t="s">
        <v>97</v>
      </c>
      <c r="B66" s="24">
        <f>IF(25981.34161="","-",25981.34161)</f>
        <v>25981.34161</v>
      </c>
      <c r="C66" s="24">
        <f>IF(OR(18396.29988="",25981.34161=""),"-",25981.34161/18396.29988*100)</f>
        <v>141.23134423486036</v>
      </c>
      <c r="D66" s="24">
        <f>IF(18396.29988="","-",18396.29988/316064.44449*100)</f>
        <v>5.820426878348868</v>
      </c>
      <c r="E66" s="24">
        <f>IF(25981.34161="","-",25981.34161/436254.68473*100)</f>
        <v>5.955544437552566</v>
      </c>
      <c r="F66" s="24">
        <f>IF(OR(255220.70381="",18152.31632="",18396.29988=""),"-",(18396.29988-18152.31632)/255220.70381*100)</f>
        <v>0.09559708768048512</v>
      </c>
      <c r="G66" s="24">
        <f>IF(OR(316064.44449="",25981.34161="",18396.29988=""),"-",(25981.34161-18396.29988)/316064.44449*100)</f>
        <v>2.399840242150358</v>
      </c>
    </row>
    <row r="67" spans="1:7" s="16" customFormat="1" ht="15.75">
      <c r="A67" s="14" t="s">
        <v>98</v>
      </c>
      <c r="B67" s="24">
        <f>IF(2304.12238="","-",2304.12238)</f>
        <v>2304.12238</v>
      </c>
      <c r="C67" s="24">
        <f>IF(OR(2023.55085="",2304.12238=""),"-",2304.12238/2023.55085*100)</f>
        <v>113.8653066217733</v>
      </c>
      <c r="D67" s="24">
        <f>IF(2023.55085="","-",2023.55085/316064.44449*100)</f>
        <v>0.6402336249068419</v>
      </c>
      <c r="E67" s="24">
        <f>IF(2304.12238="","-",2304.12238/436254.68473*100)</f>
        <v>0.528159916821531</v>
      </c>
      <c r="F67" s="24">
        <f>IF(OR(255220.70381="",2125.23906="",2023.55085=""),"-",(2023.55085-2125.23906)/255220.70381*100)</f>
        <v>-0.03984324487863726</v>
      </c>
      <c r="G67" s="24">
        <f>IF(OR(316064.44449="",2304.12238="",2023.55085=""),"-",(2304.12238-2023.55085)/316064.44449*100)</f>
        <v>0.08877035518902751</v>
      </c>
    </row>
    <row r="68" spans="1:7" s="16" customFormat="1" ht="15.75">
      <c r="A68" s="14" t="s">
        <v>99</v>
      </c>
      <c r="B68" s="24">
        <f>IF(49221.88797="","-",49221.88797)</f>
        <v>49221.88797</v>
      </c>
      <c r="C68" s="24">
        <f>IF(OR(39170.19032="",49221.88797=""),"-",49221.88797/39170.19032*100)</f>
        <v>125.66160023191841</v>
      </c>
      <c r="D68" s="24">
        <f>IF(39170.19032="","-",39170.19032/316064.44449*100)</f>
        <v>12.39310242036393</v>
      </c>
      <c r="E68" s="24">
        <f>IF(49221.88797="","-",49221.88797/436254.68473*100)</f>
        <v>11.282833100225309</v>
      </c>
      <c r="F68" s="24">
        <f>IF(OR(255220.70381="",35853.93531="",39170.19032=""),"-",(39170.19032-35853.93531)/255220.70381*100)</f>
        <v>1.2993675514933143</v>
      </c>
      <c r="G68" s="24">
        <f>IF(OR(316064.44449="",49221.88797="",39170.19032=""),"-",(49221.88797-39170.19032)/316064.44449*100)</f>
        <v>3.1802683994459957</v>
      </c>
    </row>
    <row r="69" spans="1:7" s="16" customFormat="1" ht="14.25" customHeight="1">
      <c r="A69" s="14" t="s">
        <v>100</v>
      </c>
      <c r="B69" s="24">
        <f>IF(6121.13824="","-",6121.13824)</f>
        <v>6121.13824</v>
      </c>
      <c r="C69" s="24">
        <f>IF(OR(4752.42421="",6121.13824=""),"-",6121.13824/4752.42421*100)</f>
        <v>128.80033367223336</v>
      </c>
      <c r="D69" s="24">
        <f>IF(4752.42421="","-",4752.42421/316064.44449*100)</f>
        <v>1.5036250653465584</v>
      </c>
      <c r="E69" s="24">
        <f>IF(6121.13824="","-",6121.13824/436254.68473*100)</f>
        <v>1.4031111766257365</v>
      </c>
      <c r="F69" s="24">
        <f>IF(OR(255220.70381="",5227.72094="",4752.42421=""),"-",(4752.42421-5227.72094)/255220.70381*100)</f>
        <v>-0.18622969175488066</v>
      </c>
      <c r="G69" s="24">
        <f>IF(OR(316064.44449="",6121.13824="",4752.42421=""),"-",(6121.13824-4752.42421)/316064.44449*100)</f>
        <v>0.4330490359991457</v>
      </c>
    </row>
    <row r="70" spans="1:7" ht="27.75" customHeight="1">
      <c r="A70" s="8" t="s">
        <v>105</v>
      </c>
      <c r="B70" s="24">
        <f>IF(3429.58746="","-",3429.58746)</f>
        <v>3429.58746</v>
      </c>
      <c r="C70" s="24">
        <f>IF(OR(2416.41093="",3429.58746=""),"-",3429.58746/2416.41093*100)</f>
        <v>141.92898308070474</v>
      </c>
      <c r="D70" s="24">
        <f>IF(2416.41093="","-",2416.41093/316064.44449*100)</f>
        <v>0.7645310860255441</v>
      </c>
      <c r="E70" s="24">
        <f>IF(3429.58746="","-",3429.58746/436254.68473*100)</f>
        <v>0.7861434111871114</v>
      </c>
      <c r="F70" s="24">
        <f>IF(OR(255220.70381="",3256.19169="",2416.41093=""),"-",(2416.41093-3256.19169)/255220.70381*100)</f>
        <v>-0.32904100155807814</v>
      </c>
      <c r="G70" s="24">
        <f>IF(OR(316064.44449="",3429.58746="",2416.41093=""),"-",(3429.58746-2416.41093)/316064.44449*100)</f>
        <v>0.3205601097063786</v>
      </c>
    </row>
    <row r="71" spans="1:7" ht="25.5">
      <c r="A71" s="10" t="s">
        <v>102</v>
      </c>
      <c r="B71" s="24">
        <f>IF(504.00203="","-",504.00203)</f>
        <v>504.00203</v>
      </c>
      <c r="C71" s="24" t="s">
        <v>201</v>
      </c>
      <c r="D71" s="24">
        <f>IF(308.41083="","-",308.41083/316064.44449*100)</f>
        <v>0.09757846394195023</v>
      </c>
      <c r="E71" s="24">
        <f>IF(504.00203="","-",504.00203/436254.68473*100)</f>
        <v>0.11552931066217184</v>
      </c>
      <c r="F71" s="24">
        <f>IF(OR(255220.70381="",63.94503="",308.41083=""),"-",(308.41083-63.94503)/255220.70381*100)</f>
        <v>0.09578603786861799</v>
      </c>
      <c r="G71" s="24">
        <f>IF(OR(316064.44449="",504.00203="",308.41083=""),"-",(504.00203-308.41083)/316064.44449*100)</f>
        <v>0.06188332898868298</v>
      </c>
    </row>
    <row r="72" spans="1:7" ht="15.75">
      <c r="A72" s="11" t="s">
        <v>103</v>
      </c>
      <c r="B72" s="24">
        <f>IF(8283.99896="","-",8283.99896)</f>
        <v>8283.99896</v>
      </c>
      <c r="C72" s="24">
        <f>IF(OR(5564.98662="",8283.99896=""),"-",8283.99896/5564.98662*100)</f>
        <v>148.8592790183564</v>
      </c>
      <c r="D72" s="24">
        <f>IF(5564.98662="","-",5564.98662/316064.44449*100)</f>
        <v>1.7607126385189051</v>
      </c>
      <c r="E72" s="24">
        <f>IF(8283.99896="","-",8283.99896/436254.68473*100)</f>
        <v>1.8988905448951239</v>
      </c>
      <c r="F72" s="24">
        <f>IF(OR(255220.70381="",3935.99627="",5564.98662=""),"-",(5564.98662-3935.99627)/255220.70381*100)</f>
        <v>0.6382673214523801</v>
      </c>
      <c r="G72" s="24">
        <f>IF(OR(316064.44449="",8283.99896="",5564.98662=""),"-",(8283.99896-5564.98662)/316064.44449*100)</f>
        <v>0.8602715007654169</v>
      </c>
    </row>
    <row r="73" spans="1:7" ht="15.75">
      <c r="A73" s="86" t="s">
        <v>26</v>
      </c>
      <c r="B73" s="86"/>
      <c r="C73" s="86"/>
      <c r="D73" s="86"/>
      <c r="E73" s="86"/>
      <c r="F73" s="86"/>
      <c r="G73" s="86"/>
    </row>
    <row r="74" spans="2:7" ht="15.75">
      <c r="B74" s="18"/>
      <c r="C74" s="19"/>
      <c r="D74" s="19"/>
      <c r="E74" s="19"/>
      <c r="F74" s="19"/>
      <c r="G74" s="19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K11" sqref="K11"/>
    </sheetView>
  </sheetViews>
  <sheetFormatPr defaultColWidth="9.00390625" defaultRowHeight="15.75"/>
  <cols>
    <col min="1" max="1" width="28.2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77" t="s">
        <v>273</v>
      </c>
      <c r="B1" s="77"/>
      <c r="C1" s="77"/>
      <c r="D1" s="77"/>
      <c r="E1" s="77"/>
      <c r="F1" s="77"/>
      <c r="G1" s="77"/>
    </row>
    <row r="2" spans="1:7" ht="15.75">
      <c r="A2" s="77" t="s">
        <v>31</v>
      </c>
      <c r="B2" s="77"/>
      <c r="C2" s="77"/>
      <c r="D2" s="77"/>
      <c r="E2" s="77"/>
      <c r="F2" s="77"/>
      <c r="G2" s="77"/>
    </row>
    <row r="3" ht="15.75">
      <c r="A3" s="5"/>
    </row>
    <row r="4" spans="1:7" ht="57" customHeight="1">
      <c r="A4" s="87"/>
      <c r="B4" s="90" t="s">
        <v>219</v>
      </c>
      <c r="C4" s="84"/>
      <c r="D4" s="90" t="s">
        <v>0</v>
      </c>
      <c r="E4" s="84"/>
      <c r="F4" s="81" t="s">
        <v>277</v>
      </c>
      <c r="G4" s="91"/>
    </row>
    <row r="5" spans="1:7" ht="26.25" customHeight="1">
      <c r="A5" s="88"/>
      <c r="B5" s="92" t="s">
        <v>224</v>
      </c>
      <c r="C5" s="79" t="s">
        <v>220</v>
      </c>
      <c r="D5" s="94" t="s">
        <v>222</v>
      </c>
      <c r="E5" s="94"/>
      <c r="F5" s="94" t="s">
        <v>222</v>
      </c>
      <c r="G5" s="90"/>
    </row>
    <row r="6" spans="1:7" ht="26.25" customHeight="1">
      <c r="A6" s="89"/>
      <c r="B6" s="93"/>
      <c r="C6" s="80"/>
      <c r="D6" s="49">
        <v>2017</v>
      </c>
      <c r="E6" s="49">
        <v>2018</v>
      </c>
      <c r="F6" s="49" t="s">
        <v>177</v>
      </c>
      <c r="G6" s="45" t="s">
        <v>221</v>
      </c>
    </row>
    <row r="7" spans="1:7" ht="15.75">
      <c r="A7" s="7" t="s">
        <v>185</v>
      </c>
      <c r="B7" s="43">
        <f>IF(801882.3303="","-",801882.3303)</f>
        <v>801882.3303</v>
      </c>
      <c r="C7" s="43">
        <f>IF(599501.49446="","-",801882.3303/599501.49446*100)</f>
        <v>133.75818704543752</v>
      </c>
      <c r="D7" s="43">
        <v>100</v>
      </c>
      <c r="E7" s="43">
        <v>100</v>
      </c>
      <c r="F7" s="43">
        <f>IF(494274.03793="","-",(599501.49446-494274.03793)/494274.03793*100)</f>
        <v>21.289294693827816</v>
      </c>
      <c r="G7" s="43">
        <f>IF(599501.49446="","-",(801882.3303-599501.49446)/599501.49446*100)</f>
        <v>33.75818704543752</v>
      </c>
    </row>
    <row r="8" spans="1:7" ht="12" customHeight="1">
      <c r="A8" s="8" t="s">
        <v>106</v>
      </c>
      <c r="B8" s="25"/>
      <c r="C8" s="25"/>
      <c r="D8" s="25"/>
      <c r="E8" s="25"/>
      <c r="F8" s="25"/>
      <c r="G8" s="25"/>
    </row>
    <row r="9" spans="1:7" ht="12.75" customHeight="1">
      <c r="A9" s="9" t="s">
        <v>32</v>
      </c>
      <c r="B9" s="23">
        <f>IF(89034.52549="","-",89034.52549)</f>
        <v>89034.52549</v>
      </c>
      <c r="C9" s="23">
        <f>IF(71185.695="","-",89034.52549/71185.695*100)</f>
        <v>125.07361976307176</v>
      </c>
      <c r="D9" s="23">
        <f>IF(71185.695="","-",71185.695/599501.49446*100)</f>
        <v>11.874148047640883</v>
      </c>
      <c r="E9" s="23">
        <f>IF(89034.52549="","-",89034.52549/801882.3303*100)</f>
        <v>11.10319084555591</v>
      </c>
      <c r="F9" s="23">
        <f>IF(494274.03793="","-",(71185.695-59069.80228)/494274.03793*100)</f>
        <v>2.4512500738944087</v>
      </c>
      <c r="G9" s="23">
        <f>IF(599501.49446="","-",(89034.52549-71185.695)/599501.49446*100)</f>
        <v>2.9772787315696854</v>
      </c>
    </row>
    <row r="10" spans="1:7" ht="14.25" customHeight="1">
      <c r="A10" s="8" t="s">
        <v>33</v>
      </c>
      <c r="B10" s="24">
        <f>IF(776.13211="","-",776.13211)</f>
        <v>776.13211</v>
      </c>
      <c r="C10" s="24">
        <f>IF(OR(547.24997="",776.13211=""),"-",776.13211/547.24997*100)</f>
        <v>141.8240571123284</v>
      </c>
      <c r="D10" s="24">
        <f>IF(547.24997="","-",547.24997/599501.49446*100)</f>
        <v>0.09128417110835303</v>
      </c>
      <c r="E10" s="24">
        <f>IF(776.13211="","-",776.13211/801882.3303*100)</f>
        <v>0.09678877818764677</v>
      </c>
      <c r="F10" s="24">
        <f>IF(OR(494274.03793="",1143.38132="",547.24997=""),"-",(547.24997-1143.38132)/494274.03793*100)</f>
        <v>-0.12060745745347548</v>
      </c>
      <c r="G10" s="24">
        <f>IF(OR(599501.49446="",776.13211="",547.24997=""),"-",(776.13211-547.24997)/599501.49446*100)</f>
        <v>0.03817874385887316</v>
      </c>
    </row>
    <row r="11" spans="1:7" s="16" customFormat="1" ht="13.5" customHeight="1">
      <c r="A11" s="14" t="s">
        <v>34</v>
      </c>
      <c r="B11" s="24">
        <f>IF(4982.40354="","-",4982.40354)</f>
        <v>4982.40354</v>
      </c>
      <c r="C11" s="24" t="s">
        <v>200</v>
      </c>
      <c r="D11" s="24">
        <f>IF(2937.59115="","-",2937.59115/599501.49446*100)</f>
        <v>0.4900056425457339</v>
      </c>
      <c r="E11" s="24">
        <f>IF(4982.40354="","-",4982.40354/801882.3303*100)</f>
        <v>0.6213384871737958</v>
      </c>
      <c r="F11" s="24">
        <f>IF(OR(494274.03793="",2711.9183="",2937.59115=""),"-",(2937.59115-2711.9183)/494274.03793*100)</f>
        <v>0.045657435487631376</v>
      </c>
      <c r="G11" s="24">
        <f>IF(OR(599501.49446="",4982.40354="",2937.59115=""),"-",(4982.40354-2937.59115)/599501.49446*100)</f>
        <v>0.34108545331348367</v>
      </c>
    </row>
    <row r="12" spans="1:7" s="16" customFormat="1" ht="13.5" customHeight="1">
      <c r="A12" s="14" t="s">
        <v>35</v>
      </c>
      <c r="B12" s="24">
        <f>IF(8727.21606="","-",8727.21606)</f>
        <v>8727.21606</v>
      </c>
      <c r="C12" s="24">
        <f>IF(OR(8224.00336="",8727.21606=""),"-",8727.21606/8224.00336*100)</f>
        <v>106.11882896896093</v>
      </c>
      <c r="D12" s="24">
        <f>IF(8224.00336="","-",8224.00336/599501.49446*100)</f>
        <v>1.371806982300813</v>
      </c>
      <c r="E12" s="24">
        <f>IF(8727.21606="","-",8727.21606/801882.3303*100)</f>
        <v>1.088341235394846</v>
      </c>
      <c r="F12" s="24">
        <f>IF(OR(494274.03793="",5521.21428="",8224.00336=""),"-",(8224.00336-5521.21428)/494274.03793*100)</f>
        <v>0.5468199566619306</v>
      </c>
      <c r="G12" s="24">
        <f>IF(OR(599501.49446="",8727.21606="",8224.00336=""),"-",(8727.21606-8224.00336)/599501.49446*100)</f>
        <v>0.08393852303125085</v>
      </c>
    </row>
    <row r="13" spans="1:7" s="16" customFormat="1" ht="14.25" customHeight="1">
      <c r="A13" s="14" t="s">
        <v>36</v>
      </c>
      <c r="B13" s="24">
        <f>IF(8163.0248="","-",8163.0248)</f>
        <v>8163.0248</v>
      </c>
      <c r="C13" s="24">
        <f>IF(OR(5649.01499="",8163.0248=""),"-",8163.0248/5649.01499*100)</f>
        <v>144.50350750441186</v>
      </c>
      <c r="D13" s="24">
        <f>IF(5649.01499="","-",5649.01499/599501.49446*100)</f>
        <v>0.9422853891445827</v>
      </c>
      <c r="E13" s="24">
        <f>IF(8163.0248="","-",8163.0248/801882.3303*100)</f>
        <v>1.0179828749869138</v>
      </c>
      <c r="F13" s="24">
        <f>IF(OR(494274.03793="",5689.87168="",5649.01499=""),"-",(5649.01499-5689.87168)/494274.03793*100)</f>
        <v>-0.008265999600364752</v>
      </c>
      <c r="G13" s="24">
        <f>IF(OR(599501.49446="",8163.0248="",5649.01499=""),"-",(8163.0248-5649.01499)/599501.49446*100)</f>
        <v>0.4193500488709358</v>
      </c>
    </row>
    <row r="14" spans="1:7" s="16" customFormat="1" ht="15.75" customHeight="1">
      <c r="A14" s="14" t="s">
        <v>37</v>
      </c>
      <c r="B14" s="24">
        <f>IF(14055.92858="","-",14055.92858)</f>
        <v>14055.92858</v>
      </c>
      <c r="C14" s="24" t="s">
        <v>201</v>
      </c>
      <c r="D14" s="24">
        <f>IF(8785.21198="","-",8785.21198/599501.49446*100)</f>
        <v>1.4654195295898746</v>
      </c>
      <c r="E14" s="24">
        <f>IF(14055.92858="","-",14055.92858/801882.3303*100)</f>
        <v>1.7528667298032867</v>
      </c>
      <c r="F14" s="24">
        <f>IF(OR(494274.03793="",6001.91341="",8785.21198=""),"-",(8785.21198-6001.91341)/494274.03793*100)</f>
        <v>0.5631083885482523</v>
      </c>
      <c r="G14" s="24">
        <f>IF(OR(599501.49446="",14055.92858="",8785.21198=""),"-",(14055.92858-8785.21198)/599501.49446*100)</f>
        <v>0.8791832295176494</v>
      </c>
    </row>
    <row r="15" spans="1:7" s="16" customFormat="1" ht="14.25" customHeight="1">
      <c r="A15" s="14" t="s">
        <v>38</v>
      </c>
      <c r="B15" s="24">
        <f>IF(27055.99734="","-",27055.99734)</f>
        <v>27055.99734</v>
      </c>
      <c r="C15" s="24" t="s">
        <v>201</v>
      </c>
      <c r="D15" s="24">
        <f>IF(17348.55442="","-",17348.55442/599501.49446*100)</f>
        <v>2.8938300538561097</v>
      </c>
      <c r="E15" s="24">
        <f>IF(27055.99734="","-",27055.99734/801882.3303*100)</f>
        <v>3.3740607964110914</v>
      </c>
      <c r="F15" s="24">
        <f>IF(OR(494274.03793="",17399.52714="",17348.55442=""),"-",(17348.55442-17399.52714)/494274.03793*100)</f>
        <v>-0.010312643612330856</v>
      </c>
      <c r="G15" s="24">
        <f>IF(OR(599501.49446="",27055.99734="",17348.55442=""),"-",(27055.99734-17348.55442)/599501.49446*100)</f>
        <v>1.6192524972342173</v>
      </c>
    </row>
    <row r="16" spans="1:7" s="16" customFormat="1" ht="14.25" customHeight="1">
      <c r="A16" s="14" t="s">
        <v>39</v>
      </c>
      <c r="B16" s="24">
        <f>IF(3515.09728="","-",3515.09728)</f>
        <v>3515.09728</v>
      </c>
      <c r="C16" s="24">
        <f>IF(OR(9586.41007="",3515.09728=""),"-",3515.09728/9586.41007*100)</f>
        <v>36.667503834415044</v>
      </c>
      <c r="D16" s="24">
        <f>IF(9586.41007="","-",9586.41007/599501.49446*100)</f>
        <v>1.5990635817571972</v>
      </c>
      <c r="E16" s="24">
        <f>IF(3515.09728="","-",3515.09728/801882.3303*100)</f>
        <v>0.43835574711877395</v>
      </c>
      <c r="F16" s="24">
        <f>IF(OR(494274.03793="",3628.28236="",9586.41007=""),"-",(9586.41007-3628.28236)/494274.03793*100)</f>
        <v>1.2054300353205685</v>
      </c>
      <c r="G16" s="24">
        <f>IF(OR(599501.49446="",3515.09728="",9586.41007=""),"-",(3515.09728-9586.41007)/599501.49446*100)</f>
        <v>-1.0127268816016424</v>
      </c>
    </row>
    <row r="17" spans="1:7" s="16" customFormat="1" ht="25.5">
      <c r="A17" s="14" t="s">
        <v>40</v>
      </c>
      <c r="B17" s="24">
        <f>IF(6915.77641="","-",6915.77641)</f>
        <v>6915.77641</v>
      </c>
      <c r="C17" s="24">
        <f>IF(OR(5078.13932="",6915.77641=""),"-",6915.77641/5078.13932*100)</f>
        <v>136.1872129573633</v>
      </c>
      <c r="D17" s="24">
        <f>IF(5078.13932="","-",5078.13932/599501.49446*100)</f>
        <v>0.8470603271096308</v>
      </c>
      <c r="E17" s="24">
        <f>IF(6915.77641="","-",6915.77641/801882.3303*100)</f>
        <v>0.8624427984854925</v>
      </c>
      <c r="F17" s="24">
        <f>IF(OR(494274.03793="",5724.42812="",5078.13932=""),"-",(5078.13932-5724.42812)/494274.03793*100)</f>
        <v>-0.13075515815207112</v>
      </c>
      <c r="G17" s="24">
        <f>IF(OR(599501.49446="",6915.77641="",5078.13932=""),"-",(6915.77641-5078.13932)/599501.49446*100)</f>
        <v>0.3065275244485001</v>
      </c>
    </row>
    <row r="18" spans="1:7" s="16" customFormat="1" ht="25.5">
      <c r="A18" s="14" t="s">
        <v>41</v>
      </c>
      <c r="B18" s="24">
        <f>IF(5263.53674="","-",5263.53674)</f>
        <v>5263.53674</v>
      </c>
      <c r="C18" s="24">
        <f>IF(OR(4022.75787="",5263.53674=""),"-",5263.53674/4022.75787*100)</f>
        <v>130.84398589468174</v>
      </c>
      <c r="D18" s="24">
        <f>IF(4022.75787="","-",4022.75787/599501.49446*100)</f>
        <v>0.6710171546150178</v>
      </c>
      <c r="E18" s="24">
        <f>IF(5263.53674="","-",5263.53674/801882.3303*100)</f>
        <v>0.656397646027542</v>
      </c>
      <c r="F18" s="24">
        <f>IF(OR(494274.03793="",3801.1806="",4022.75787=""),"-",(4022.75787-3801.1806)/494274.03793*100)</f>
        <v>0.044828830364620514</v>
      </c>
      <c r="G18" s="24">
        <f>IF(OR(599501.49446="",5263.53674="",4022.75787=""),"-",(5263.53674-4022.75787)/599501.49446*100)</f>
        <v>0.20696843652035085</v>
      </c>
    </row>
    <row r="19" spans="1:7" s="16" customFormat="1" ht="13.5" customHeight="1">
      <c r="A19" s="14" t="s">
        <v>42</v>
      </c>
      <c r="B19" s="24">
        <f>IF(9579.41263="","-",9579.41263)</f>
        <v>9579.41263</v>
      </c>
      <c r="C19" s="24">
        <f>IF(OR(9006.76187="",9579.41263=""),"-",9579.41263/9006.76187*100)</f>
        <v>106.35800932971708</v>
      </c>
      <c r="D19" s="24">
        <f>IF(9006.76187="","-",9006.76187/599501.49446*100)</f>
        <v>1.5023752156135703</v>
      </c>
      <c r="E19" s="24">
        <f>IF(9579.41263="","-",9579.41263/801882.3303*100)</f>
        <v>1.1946157519665201</v>
      </c>
      <c r="F19" s="24">
        <f>IF(OR(494274.03793="",7448.08507="",9006.76187=""),"-",(9006.76187-7448.08507)/494274.03793*100)</f>
        <v>0.3153466863296475</v>
      </c>
      <c r="G19" s="24">
        <f>IF(OR(599501.49446="",9579.41263="",9006.76187=""),"-",(9579.41263-9006.76187)/599501.49446*100)</f>
        <v>0.09552115637606787</v>
      </c>
    </row>
    <row r="20" spans="1:7" s="16" customFormat="1" ht="13.5" customHeight="1">
      <c r="A20" s="15" t="s">
        <v>43</v>
      </c>
      <c r="B20" s="23">
        <f>IF(8369.83856="","-",8369.83856)</f>
        <v>8369.83856</v>
      </c>
      <c r="C20" s="23">
        <f>IF(10117.62682="","-",8369.83856/10117.62682*100)</f>
        <v>82.72531403762528</v>
      </c>
      <c r="D20" s="23">
        <f>IF(10117.62682="","-",10117.62682/599501.49446*100)</f>
        <v>1.6876733275057862</v>
      </c>
      <c r="E20" s="23">
        <f>IF(8369.83856="","-",8369.83856/801882.3303*100)</f>
        <v>1.0437739109263922</v>
      </c>
      <c r="F20" s="23">
        <f>IF(494274.03793="","-",(10117.62682-12628.23603)/494274.03793*100)</f>
        <v>-0.5079387176624393</v>
      </c>
      <c r="G20" s="23">
        <f>IF(599501.49446="","-",(8369.83856-10117.62682)/599501.49446*100)</f>
        <v>-0.29154026739738437</v>
      </c>
    </row>
    <row r="21" spans="1:7" s="16" customFormat="1" ht="15" customHeight="1">
      <c r="A21" s="14" t="s">
        <v>44</v>
      </c>
      <c r="B21" s="24">
        <f>IF(5836.88636="","-",5836.88636)</f>
        <v>5836.88636</v>
      </c>
      <c r="C21" s="24">
        <f>IF(OR(4619.61641="",5836.88636=""),"-",5836.88636/4619.61641*100)</f>
        <v>126.35002220887861</v>
      </c>
      <c r="D21" s="24">
        <f>IF(4619.61641="","-",4619.61641/599501.49446*100)</f>
        <v>0.7705762959208486</v>
      </c>
      <c r="E21" s="24">
        <f>IF(5836.88636="","-",5836.88636/801882.3303*100)</f>
        <v>0.7278981141555153</v>
      </c>
      <c r="F21" s="24">
        <f>IF(OR(494274.03793="",5199.04892="",4619.61641=""),"-",(4619.61641-5199.04892)/494274.03793*100)</f>
        <v>-0.1172289996105482</v>
      </c>
      <c r="G21" s="24">
        <f>IF(OR(599501.49446="",5836.88636="",4619.61641=""),"-",(5836.88636-4619.61641)/599501.49446*100)</f>
        <v>0.2030470251114978</v>
      </c>
    </row>
    <row r="22" spans="1:7" s="16" customFormat="1" ht="14.25" customHeight="1">
      <c r="A22" s="14" t="s">
        <v>45</v>
      </c>
      <c r="B22" s="24">
        <f>IF(2532.9522="","-",2532.9522)</f>
        <v>2532.9522</v>
      </c>
      <c r="C22" s="24">
        <f>IF(OR(5498.01041="",2532.9522=""),"-",2532.9522/5498.01041*100)</f>
        <v>46.070342016686</v>
      </c>
      <c r="D22" s="24">
        <f>IF(5498.01041="","-",5498.01041/599501.49446*100)</f>
        <v>0.9170970315849378</v>
      </c>
      <c r="E22" s="24">
        <f>IF(2532.9522="","-",2532.9522/801882.3303*100)</f>
        <v>0.31587579677087696</v>
      </c>
      <c r="F22" s="24">
        <f>IF(OR(494274.03793="",7429.18711="",5498.01041=""),"-",(5498.01041-7429.18711)/494274.03793*100)</f>
        <v>-0.39070971805189103</v>
      </c>
      <c r="G22" s="24">
        <f>IF(OR(599501.49446="",2532.9522="",5498.01041=""),"-",(2532.9522-5498.01041)/599501.49446*100)</f>
        <v>-0.4945872925088821</v>
      </c>
    </row>
    <row r="23" spans="1:7" s="16" customFormat="1" ht="25.5">
      <c r="A23" s="15" t="s">
        <v>46</v>
      </c>
      <c r="B23" s="23">
        <f>IF(26401.15916="","-",26401.15916)</f>
        <v>26401.15916</v>
      </c>
      <c r="C23" s="23">
        <f>IF(18900.16452="","-",26401.15916/18900.16452*100)</f>
        <v>139.6874568581798</v>
      </c>
      <c r="D23" s="23">
        <f>IF(18900.16452="","-",18900.16452/599501.49446*100)</f>
        <v>3.1526467731367864</v>
      </c>
      <c r="E23" s="23">
        <f>IF(26401.15916="","-",26401.15916/801882.3303*100)</f>
        <v>3.29239816895863</v>
      </c>
      <c r="F23" s="23">
        <f>IF(494274.03793="","-",(18900.16452-10176.89761)/494274.03793*100)</f>
        <v>1.7648644760976508</v>
      </c>
      <c r="G23" s="23">
        <f>IF(599501.49446="","-",(26401.15916-18900.16452)/599501.49446*100)</f>
        <v>1.251205327979459</v>
      </c>
    </row>
    <row r="24" spans="1:7" s="16" customFormat="1" ht="14.25" customHeight="1">
      <c r="A24" s="14" t="s">
        <v>48</v>
      </c>
      <c r="B24" s="24">
        <f>IF(14185.04938="","-",14185.04938)</f>
        <v>14185.04938</v>
      </c>
      <c r="C24" s="24">
        <f>IF(OR(10283.81792="",14185.04938=""),"-",14185.04938/10283.81792*100)</f>
        <v>137.93563334501357</v>
      </c>
      <c r="D24" s="24">
        <f>IF(10283.81792="","-",10283.81792/599501.49446*100)</f>
        <v>1.715394876415301</v>
      </c>
      <c r="E24" s="24">
        <f>IF(14185.04938="","-",14185.04938/801882.3303*100)</f>
        <v>1.7689689426992476</v>
      </c>
      <c r="F24" s="24">
        <f>IF(OR(494274.03793="",2842.99292="",10283.81792=""),"-",(10283.81792-2842.99292)/494274.03793*100)</f>
        <v>1.505404781356083</v>
      </c>
      <c r="G24" s="24">
        <f>IF(OR(599501.49446="",14185.04938="",10283.81792=""),"-",(14185.04938-10283.81792)/599501.49446*100)</f>
        <v>0.6507459107360573</v>
      </c>
    </row>
    <row r="25" spans="1:7" s="16" customFormat="1" ht="25.5">
      <c r="A25" s="14" t="s">
        <v>49</v>
      </c>
      <c r="B25" s="24">
        <f>IF(136.1416="","-",136.1416)</f>
        <v>136.1416</v>
      </c>
      <c r="C25" s="24" t="s">
        <v>200</v>
      </c>
      <c r="D25" s="24">
        <f>IF(80.32898="","-",80.32898/599501.49446*100)</f>
        <v>0.013399296038845777</v>
      </c>
      <c r="E25" s="24">
        <f>IF(136.1416="","-",136.1416/801882.3303*100)</f>
        <v>0.016977752826785292</v>
      </c>
      <c r="F25" s="24">
        <f>IF(OR(494274.03793="",73.61163="",80.32898=""),"-",(80.32898-73.61163)/494274.03793*100)</f>
        <v>0.0013590335491081003</v>
      </c>
      <c r="G25" s="24">
        <f>IF(OR(599501.49446="",136.1416="",80.32898=""),"-",(136.1416-80.32898)/599501.49446*100)</f>
        <v>0.00930983834331775</v>
      </c>
    </row>
    <row r="26" spans="1:7" s="16" customFormat="1" ht="13.5" customHeight="1">
      <c r="A26" s="14" t="s">
        <v>50</v>
      </c>
      <c r="B26" s="24">
        <f>IF(3455.90521="","-",3455.90521)</f>
        <v>3455.90521</v>
      </c>
      <c r="C26" s="24">
        <f>IF(OR(2776.64379="",3455.90521=""),"-",3455.90521/2776.64379*100)</f>
        <v>124.46339794994013</v>
      </c>
      <c r="D26" s="24">
        <f>IF(2776.64379="","-",2776.64379/599501.49446*100)</f>
        <v>0.46315877702707947</v>
      </c>
      <c r="E26" s="24">
        <f>IF(3455.90521="","-",3455.90521/801882.3303*100)</f>
        <v>0.4309741067254939</v>
      </c>
      <c r="F26" s="24">
        <f>IF(OR(494274.03793="",2180.96991="",2776.64379=""),"-",(2776.64379-2180.96991)/494274.03793*100)</f>
        <v>0.12051490353299939</v>
      </c>
      <c r="G26" s="24">
        <f>IF(OR(599501.49446="",3455.90521="",2776.64379=""),"-",(3455.90521-2776.64379)/599501.49446*100)</f>
        <v>0.11330437476421029</v>
      </c>
    </row>
    <row r="27" spans="1:7" s="16" customFormat="1" ht="15" customHeight="1">
      <c r="A27" s="14" t="s">
        <v>51</v>
      </c>
      <c r="B27" s="24">
        <f>IF(69.17872="","-",69.17872)</f>
        <v>69.17872</v>
      </c>
      <c r="C27" s="24">
        <f>IF(OR(66.46133="",69.17872=""),"-",69.17872/66.46133*100)</f>
        <v>104.0886783337017</v>
      </c>
      <c r="D27" s="24">
        <f>IF(66.46133="","-",66.46133/599501.49446*100)</f>
        <v>0.011086099136394138</v>
      </c>
      <c r="E27" s="24">
        <f>IF(69.17872="","-",69.17872/801882.3303*100)</f>
        <v>0.008627041323397023</v>
      </c>
      <c r="F27" s="24">
        <f>IF(OR(494274.03793="",66.24981="",66.46133=""),"-",(66.46133-66.24981)/494274.03793*100)</f>
        <v>4.279407449475692E-05</v>
      </c>
      <c r="G27" s="24">
        <f>IF(OR(599501.49446="",69.17872="",66.46133=""),"-",(69.17872-66.46133)/599501.49446*100)</f>
        <v>0.00045327493344243943</v>
      </c>
    </row>
    <row r="28" spans="1:7" s="16" customFormat="1" ht="38.25">
      <c r="A28" s="14" t="s">
        <v>52</v>
      </c>
      <c r="B28" s="24">
        <f>IF(1402.39628="","-",1402.39628)</f>
        <v>1402.39628</v>
      </c>
      <c r="C28" s="24">
        <f>IF(OR(1140.16096="",1402.39628=""),"-",1402.39628/1140.16096*100)</f>
        <v>122.99985082807959</v>
      </c>
      <c r="D28" s="24">
        <f>IF(1140.16096="","-",1140.16096/599501.49446*100)</f>
        <v>0.19018484032754548</v>
      </c>
      <c r="E28" s="24">
        <f>IF(1402.39628="","-",1402.39628/801882.3303*100)</f>
        <v>0.17488803868210137</v>
      </c>
      <c r="F28" s="24">
        <f>IF(OR(494274.03793="",854.81195="",1140.16096=""),"-",(1140.16096-854.81195)/494274.03793*100)</f>
        <v>0.0577309322567356</v>
      </c>
      <c r="G28" s="24">
        <f>IF(OR(599501.49446="",1402.39628="",1140.16096=""),"-",(1402.39628-1140.16096)/599501.49446*100)</f>
        <v>0.04374222957295679</v>
      </c>
    </row>
    <row r="29" spans="1:7" s="16" customFormat="1" ht="38.25">
      <c r="A29" s="14" t="s">
        <v>53</v>
      </c>
      <c r="B29" s="24">
        <f>IF(1352.64222="","-",1352.64222)</f>
        <v>1352.64222</v>
      </c>
      <c r="C29" s="24" t="s">
        <v>199</v>
      </c>
      <c r="D29" s="24">
        <f>IF(747.49297="","-",747.49297/599501.49446*100)</f>
        <v>0.12468575590012551</v>
      </c>
      <c r="E29" s="24">
        <f>IF(1352.64222="","-",1352.64222/801882.3303*100)</f>
        <v>0.168683380202922</v>
      </c>
      <c r="F29" s="24">
        <f>IF(OR(494274.03793="",850.80566="",747.49297=""),"-",(747.49297-850.80566)/494274.03793*100)</f>
        <v>-0.020901905030794133</v>
      </c>
      <c r="G29" s="24">
        <f>IF(OR(599501.49446="",1352.64222="",747.49297=""),"-",(1352.64222-747.49297)/599501.49446*100)</f>
        <v>0.10094207530626546</v>
      </c>
    </row>
    <row r="30" spans="1:7" s="16" customFormat="1" ht="14.25" customHeight="1">
      <c r="A30" s="14" t="s">
        <v>54</v>
      </c>
      <c r="B30" s="24">
        <f>IF(122.39358="","-",122.39358)</f>
        <v>122.39358</v>
      </c>
      <c r="C30" s="24">
        <f>IF(OR(108.97577="",122.39358=""),"-",122.39358/108.97577*100)</f>
        <v>112.31265445520597</v>
      </c>
      <c r="D30" s="24">
        <f>IF(108.97577="","-",108.97577/599501.49446*100)</f>
        <v>0.018177731166151595</v>
      </c>
      <c r="E30" s="24">
        <f>IF(122.39358="","-",122.39358/801882.3303*100)</f>
        <v>0.01526328432180444</v>
      </c>
      <c r="F30" s="24">
        <f>IF(OR(494274.03793="",151.65063="",108.97577=""),"-",(108.97577-151.65063)/494274.03793*100)</f>
        <v>-0.008633846151159513</v>
      </c>
      <c r="G30" s="24">
        <f>IF(OR(599501.49446="",122.39358="",108.97577=""),"-",(122.39358-108.97577)/599501.49446*100)</f>
        <v>0.0022381612262845274</v>
      </c>
    </row>
    <row r="31" spans="1:7" s="16" customFormat="1" ht="25.5">
      <c r="A31" s="14" t="s">
        <v>55</v>
      </c>
      <c r="B31" s="24">
        <f>IF(5677.45217="","-",5677.45217)</f>
        <v>5677.45217</v>
      </c>
      <c r="C31" s="24">
        <f>IF(OR(3696.2828="",5677.45217=""),"-",5677.45217/3696.2828*100)</f>
        <v>153.5989662371072</v>
      </c>
      <c r="D31" s="24">
        <f>IF(3696.2828="","-",3696.2828/599501.49446*100)</f>
        <v>0.6165593971253434</v>
      </c>
      <c r="E31" s="24">
        <f>IF(5677.45217="","-",5677.45217/801882.3303*100)</f>
        <v>0.7080156221768787</v>
      </c>
      <c r="F31" s="24">
        <f>IF(OR(494274.03793="",3152.52612="",3696.2828=""),"-",(3696.2828-3152.52612)/494274.03793*100)</f>
        <v>0.1100111756379581</v>
      </c>
      <c r="G31" s="24">
        <f>IF(OR(599501.49446="",5677.45217="",3696.2828=""),"-",(5677.45217-3696.2828)/599501.49446*100)</f>
        <v>0.3304694630969244</v>
      </c>
    </row>
    <row r="32" spans="1:7" s="16" customFormat="1" ht="25.5">
      <c r="A32" s="15" t="s">
        <v>56</v>
      </c>
      <c r="B32" s="23">
        <f>IF(144848.63589="","-",144848.63589)</f>
        <v>144848.63589</v>
      </c>
      <c r="C32" s="23">
        <f>IF(117738.16088="","-",144848.63589/117738.16088*100)</f>
        <v>123.02607311628665</v>
      </c>
      <c r="D32" s="23">
        <f>IF(117738.16088="","-",117738.16088/599501.49446*100)</f>
        <v>19.639344016323506</v>
      </c>
      <c r="E32" s="23">
        <f>IF(144848.63589="","-",144848.63589/801882.3303*100)</f>
        <v>18.063577462270462</v>
      </c>
      <c r="F32" s="23">
        <f>IF(494274.03793="","-",(117738.16088-105074.61104)/494274.03793*100)</f>
        <v>2.5620503745319976</v>
      </c>
      <c r="G32" s="23">
        <f>IF(599501.49446="","-",(144848.63589-117738.16088)/599501.49446*100)</f>
        <v>4.5221697127577185</v>
      </c>
    </row>
    <row r="33" spans="1:7" s="16" customFormat="1" ht="14.25" customHeight="1">
      <c r="A33" s="14" t="s">
        <v>57</v>
      </c>
      <c r="B33" s="24">
        <f>IF(1189.63922="","-",1189.63922)</f>
        <v>1189.63922</v>
      </c>
      <c r="C33" s="24">
        <f>IF(OR(2647.72063="",1189.63922=""),"-",1189.63922/2647.72063*100)</f>
        <v>44.93069270680571</v>
      </c>
      <c r="D33" s="24">
        <f>IF(2647.72063="","-",2647.72063/599501.49446*100)</f>
        <v>0.4416537163739567</v>
      </c>
      <c r="E33" s="24">
        <f>IF(1189.63922="","-",1189.63922/801882.3303*100)</f>
        <v>0.14835583414775239</v>
      </c>
      <c r="F33" s="24">
        <f>IF(OR(494274.03793="",431.59876="",2647.72063=""),"-",(2647.72063-431.59876)/494274.03793*100)</f>
        <v>0.44835894664446263</v>
      </c>
      <c r="G33" s="24">
        <f>IF(OR(599501.49446="",1189.63922="",2647.72063=""),"-",(1189.63922-2647.72063)/599501.49446*100)</f>
        <v>-0.243215642241787</v>
      </c>
    </row>
    <row r="34" spans="1:7" s="16" customFormat="1" ht="25.5">
      <c r="A34" s="14" t="s">
        <v>58</v>
      </c>
      <c r="B34" s="24">
        <f>IF(67810.22705="","-",67810.22705)</f>
        <v>67810.22705</v>
      </c>
      <c r="C34" s="24">
        <f>IF(OR(56592.30309="",67810.22705=""),"-",67810.22705/56592.30309*100)</f>
        <v>119.82234923742172</v>
      </c>
      <c r="D34" s="24">
        <f>IF(56592.30309="","-",56592.30309/599501.49446*100)</f>
        <v>9.43989358041141</v>
      </c>
      <c r="E34" s="24">
        <f>IF(67810.22705="","-",67810.22705/801882.3303*100)</f>
        <v>8.456381252924086</v>
      </c>
      <c r="F34" s="24">
        <f>IF(OR(494274.03793="",30182.84462="",56592.30309=""),"-",(56592.30309-30182.84462)/494274.03793*100)</f>
        <v>5.343080243623914</v>
      </c>
      <c r="G34" s="24">
        <f>IF(OR(599501.49446="",67810.22705="",56592.30309=""),"-",(67810.22705-56592.30309)/599501.49446*100)</f>
        <v>1.8712086731501025</v>
      </c>
    </row>
    <row r="35" spans="1:7" s="16" customFormat="1" ht="25.5">
      <c r="A35" s="14" t="s">
        <v>59</v>
      </c>
      <c r="B35" s="24">
        <f>IF(70510.2238="","-",70510.2238)</f>
        <v>70510.2238</v>
      </c>
      <c r="C35" s="24">
        <f>IF(OR(58497.52273="",70510.2238=""),"-",70510.2238/58497.52273*100)</f>
        <v>120.5354013458751</v>
      </c>
      <c r="D35" s="24">
        <f>IF(58497.52273="","-",58497.52273/599501.49446*100)</f>
        <v>9.757694229384956</v>
      </c>
      <c r="E35" s="24">
        <f>IF(70510.2238="","-",70510.2238/801882.3303*100)</f>
        <v>8.793088603613542</v>
      </c>
      <c r="F35" s="24">
        <f>IF(OR(494274.03793="",74284.04993="",58497.52273=""),"-",(58497.52273-74284.04993)/494274.03793*100)</f>
        <v>-3.193881528982049</v>
      </c>
      <c r="G35" s="24">
        <f>IF(OR(599501.49446="",70510.2238="",58497.52273=""),"-",(70510.2238-58497.52273)/599501.49446*100)</f>
        <v>2.0037816721074955</v>
      </c>
    </row>
    <row r="36" spans="1:7" s="16" customFormat="1" ht="13.5" customHeight="1">
      <c r="A36" s="14" t="s">
        <v>60</v>
      </c>
      <c r="B36" s="24">
        <f>IF(5338.54582="","-",5338.54582)</f>
        <v>5338.54582</v>
      </c>
      <c r="C36" s="24" t="s">
        <v>254</v>
      </c>
      <c r="D36" s="24">
        <f>IF(0.61443="","-",0.61443/599501.49446*100)</f>
        <v>0.00010249015318192774</v>
      </c>
      <c r="E36" s="24">
        <f>IF(5338.54582="","-",5338.54582/801882.3303*100)</f>
        <v>0.6657517715850835</v>
      </c>
      <c r="F36" s="24">
        <f>IF(OR(494274.03793="",176.11773="",0.61443=""),"-",(0.61443-176.11773)/494274.03793*100)</f>
        <v>-0.03550728675432779</v>
      </c>
      <c r="G36" s="24">
        <f>IF(OR(599501.49446="",5338.54582="",0.61443=""),"-",(5338.54582-0.61443)/599501.49446*100)</f>
        <v>0.890395009741908</v>
      </c>
    </row>
    <row r="37" spans="1:7" s="16" customFormat="1" ht="28.5" customHeight="1">
      <c r="A37" s="15" t="s">
        <v>61</v>
      </c>
      <c r="B37" s="23">
        <f>IF(1775.4448="","-",1775.4448)</f>
        <v>1775.4448</v>
      </c>
      <c r="C37" s="23">
        <f>IF(1559.60435="","-",1775.4448/1559.60435*100)</f>
        <v>113.83943626471675</v>
      </c>
      <c r="D37" s="23">
        <f>IF(1559.60435="","-",1559.60435/599501.49446*100)</f>
        <v>0.260150202195044</v>
      </c>
      <c r="E37" s="23">
        <f>IF(1775.4448="","-",1775.4448/801882.3303*100)</f>
        <v>0.2214096424017438</v>
      </c>
      <c r="F37" s="23">
        <f>IF(494274.03793="","-",(1559.60435-911.09888)/494274.03793*100)</f>
        <v>0.13120362799468796</v>
      </c>
      <c r="G37" s="23">
        <f>IF(599501.49446="","-",(1775.4448-1559.60435)/599501.49446*100)</f>
        <v>0.03600332142531485</v>
      </c>
    </row>
    <row r="38" spans="1:7" s="16" customFormat="1" ht="15" customHeight="1">
      <c r="A38" s="14" t="s">
        <v>62</v>
      </c>
      <c r="B38" s="24">
        <f>IF(200.97129="","-",200.97129)</f>
        <v>200.97129</v>
      </c>
      <c r="C38" s="24">
        <f>IF(OR(129.76376="",200.97129=""),"-",200.97129/129.76376*100)</f>
        <v>154.8747431486264</v>
      </c>
      <c r="D38" s="24">
        <f>IF(129.76376="","-",129.76376/599501.49446*100)</f>
        <v>0.021645277150957647</v>
      </c>
      <c r="E38" s="24">
        <f>IF(200.97129="","-",200.97129/801882.3303*100)</f>
        <v>0.025062441508695257</v>
      </c>
      <c r="F38" s="24">
        <f>IF(OR(494274.03793="",72.05245="",129.76376=""),"-",(129.76376-72.05245)/494274.03793*100)</f>
        <v>0.011675974372777634</v>
      </c>
      <c r="G38" s="24">
        <f>IF(OR(599501.49446="",200.97129="",129.76376=""),"-",(200.97129-129.76376)/599501.49446*100)</f>
        <v>0.01187779024039633</v>
      </c>
    </row>
    <row r="39" spans="1:7" s="16" customFormat="1" ht="25.5">
      <c r="A39" s="14" t="s">
        <v>107</v>
      </c>
      <c r="B39" s="24">
        <f>IF(1089.24863="","-",1089.24863)</f>
        <v>1089.24863</v>
      </c>
      <c r="C39" s="24">
        <f>IF(OR(1109.09901="",1089.24863=""),"-",1089.24863/1109.09901*100)</f>
        <v>98.21022471203902</v>
      </c>
      <c r="D39" s="24">
        <f>IF(1109.09901="","-",1109.09901/599501.49446*100)</f>
        <v>0.18500354381918918</v>
      </c>
      <c r="E39" s="24">
        <f>IF(1089.24863="","-",1089.24863/801882.3303*100)</f>
        <v>0.1358364673770141</v>
      </c>
      <c r="F39" s="24">
        <f>IF(OR(494274.03793="",529.50846="",1109.09901=""),"-",(1109.09901-529.50846)/494274.03793*100)</f>
        <v>0.11726097377626835</v>
      </c>
      <c r="G39" s="24">
        <f>IF(OR(599501.49446="",1089.24863="",1109.09901=""),"-",(1089.24863-1109.09901)/599501.49446*100)</f>
        <v>-0.0033111477091279074</v>
      </c>
    </row>
    <row r="40" spans="1:7" s="16" customFormat="1" ht="25.5">
      <c r="A40" s="14" t="s">
        <v>108</v>
      </c>
      <c r="B40" s="24">
        <f>IF(485.22488="","-",485.22488)</f>
        <v>485.22488</v>
      </c>
      <c r="C40" s="24">
        <f>IF(OR(320.74158="",485.22488=""),"-",485.22488/320.74158*100)</f>
        <v>151.2821879844827</v>
      </c>
      <c r="D40" s="24">
        <f>IF(320.74158="","-",320.74158/599501.49446*100)</f>
        <v>0.05350138122489711</v>
      </c>
      <c r="E40" s="24">
        <f>IF(485.22488="","-",485.22488/801882.3303*100)</f>
        <v>0.06051073351603443</v>
      </c>
      <c r="F40" s="24">
        <f>IF(OR(494274.03793="",309.53797="",320.74158=""),"-",(320.74158-309.53797)/494274.03793*100)</f>
        <v>0.002266679845641964</v>
      </c>
      <c r="G40" s="24">
        <f>IF(OR(599501.49446="",485.22488="",320.74158=""),"-",(485.22488-320.74158)/599501.49446*100)</f>
        <v>0.02743667889404647</v>
      </c>
    </row>
    <row r="41" spans="1:7" s="16" customFormat="1" ht="27" customHeight="1">
      <c r="A41" s="15" t="s">
        <v>65</v>
      </c>
      <c r="B41" s="23">
        <f>IF(112680.06645="","-",112680.06645)</f>
        <v>112680.06645</v>
      </c>
      <c r="C41" s="23">
        <f>IF(82378.48838="","-",112680.06645/82378.48838*100)</f>
        <v>136.78336258153126</v>
      </c>
      <c r="D41" s="23">
        <f>IF(82378.48838="","-",82378.48838/599501.49446*100)</f>
        <v>13.741164807971378</v>
      </c>
      <c r="E41" s="23">
        <f>IF(112680.06645="","-",112680.06645/801882.3303*100)</f>
        <v>14.051945303227239</v>
      </c>
      <c r="F41" s="23">
        <f>IF(494274.03793="","-",(82378.48838-67569.88796)/494274.03793*100)</f>
        <v>2.9960303968255815</v>
      </c>
      <c r="G41" s="23">
        <f>IF(599501.49446="","-",(112680.06645-82378.48838)/599501.49446*100)</f>
        <v>5.0544624742418875</v>
      </c>
    </row>
    <row r="42" spans="1:7" s="16" customFormat="1" ht="14.25" customHeight="1">
      <c r="A42" s="14" t="s">
        <v>66</v>
      </c>
      <c r="B42" s="24">
        <f>IF(3119.70718="","-",3119.70718)</f>
        <v>3119.70718</v>
      </c>
      <c r="C42" s="24">
        <f>IF(OR(2617.2658="",3119.70718=""),"-",3119.70718/2617.2658*100)</f>
        <v>119.19718585708794</v>
      </c>
      <c r="D42" s="24">
        <f>IF(2617.2658="","-",2617.2658/599501.49446*100)</f>
        <v>0.43657369067236407</v>
      </c>
      <c r="E42" s="24">
        <f>IF(3119.70718="","-",3119.70718/801882.3303*100)</f>
        <v>0.389048001448399</v>
      </c>
      <c r="F42" s="24">
        <f>IF(OR(494274.03793="",1770.2297="",2617.2658=""),"-",(2617.2658-1770.2297)/494274.03793*100)</f>
        <v>0.17136973318431886</v>
      </c>
      <c r="G42" s="24">
        <f>IF(OR(599501.49446="",3119.70718="",2617.2658=""),"-",(3119.70718-2617.2658)/599501.49446*100)</f>
        <v>0.08380986280152196</v>
      </c>
    </row>
    <row r="43" spans="1:7" s="16" customFormat="1" ht="14.25" customHeight="1">
      <c r="A43" s="14" t="s">
        <v>67</v>
      </c>
      <c r="B43" s="24">
        <f>IF(1639.67114="","-",1639.67114)</f>
        <v>1639.67114</v>
      </c>
      <c r="C43" s="24">
        <f>IF(OR(1690.21643="",1639.67114=""),"-",1639.67114/1690.21643*100)</f>
        <v>97.00953741172661</v>
      </c>
      <c r="D43" s="24">
        <f>IF(1690.21643="","-",1690.21643/599501.49446*100)</f>
        <v>0.2819369835804096</v>
      </c>
      <c r="E43" s="24">
        <f>IF(1639.67114="","-",1639.67114/801882.3303*100)</f>
        <v>0.204477774112639</v>
      </c>
      <c r="F43" s="24">
        <f>IF(OR(494274.03793="",1732.649="",1690.21643=""),"-",(1690.21643-1732.649)/494274.03793*100)</f>
        <v>-0.00858482678509797</v>
      </c>
      <c r="G43" s="24">
        <f>IF(OR(599501.49446="",1639.67114="",1690.21643=""),"-",(1639.67114-1690.21643)/599501.49446*100)</f>
        <v>-0.008431220016478627</v>
      </c>
    </row>
    <row r="44" spans="1:7" s="16" customFormat="1" ht="15" customHeight="1">
      <c r="A44" s="14" t="s">
        <v>68</v>
      </c>
      <c r="B44" s="24">
        <f>IF(3337.65012="","-",3337.65012)</f>
        <v>3337.65012</v>
      </c>
      <c r="C44" s="24" t="s">
        <v>201</v>
      </c>
      <c r="D44" s="24">
        <f>IF(2121.24247="","-",2121.24247/599501.49446*100)</f>
        <v>0.35383439234137454</v>
      </c>
      <c r="E44" s="24">
        <f>IF(3337.65012="","-",3337.65012/801882.3303*100)</f>
        <v>0.41622691932260425</v>
      </c>
      <c r="F44" s="24">
        <f>IF(OR(494274.03793="",2047.03702="",2121.24247=""),"-",(2121.24247-2047.03702)/494274.03793*100)</f>
        <v>0.015013017942591043</v>
      </c>
      <c r="G44" s="24">
        <f>IF(OR(599501.49446="",3337.65012="",2121.24247=""),"-",(3337.65012-2121.24247)/599501.49446*100)</f>
        <v>0.2029031889396167</v>
      </c>
    </row>
    <row r="45" spans="1:7" s="16" customFormat="1" ht="15" customHeight="1">
      <c r="A45" s="14" t="s">
        <v>69</v>
      </c>
      <c r="B45" s="24">
        <f>IF(34290.15627="","-",34290.15627)</f>
        <v>34290.15627</v>
      </c>
      <c r="C45" s="24">
        <f>IF(OR(28447.40532="",34290.15627=""),"-",34290.15627/28447.40532*100)</f>
        <v>120.538783359241</v>
      </c>
      <c r="D45" s="24">
        <f>IF(28447.40532="","-",28447.40532/599501.49446*100)</f>
        <v>4.745176714801013</v>
      </c>
      <c r="E45" s="24">
        <f>IF(34290.15627="","-",34290.15627/801882.3303*100)</f>
        <v>4.2762079889167</v>
      </c>
      <c r="F45" s="24">
        <f>IF(OR(494274.03793="",15447.63149="",28447.40532=""),"-",(28447.40532-15447.63149)/494274.03793*100)</f>
        <v>2.6300741759455013</v>
      </c>
      <c r="G45" s="24">
        <f>IF(OR(599501.49446="",34290.15627="",28447.40532=""),"-",(34290.15627-28447.40532)/599501.49446*100)</f>
        <v>0.9746015654661289</v>
      </c>
    </row>
    <row r="46" spans="1:7" s="16" customFormat="1" ht="38.25">
      <c r="A46" s="14" t="s">
        <v>70</v>
      </c>
      <c r="B46" s="24">
        <f>IF(16672.43412="","-",16672.43412)</f>
        <v>16672.43412</v>
      </c>
      <c r="C46" s="24">
        <f>IF(OR(14089.98054="",16672.43412=""),"-",16672.43412/14089.98054*100)</f>
        <v>118.32829770537072</v>
      </c>
      <c r="D46" s="24">
        <f>IF(14089.98054="","-",14089.98054/599501.49446*100)</f>
        <v>2.3502828049980975</v>
      </c>
      <c r="E46" s="24">
        <f>IF(16672.43412="","-",16672.43412/801882.3303*100)</f>
        <v>2.0791621775432456</v>
      </c>
      <c r="F46" s="24">
        <f>IF(OR(494274.03793="",15513.92449="",14089.98054=""),"-",(14089.98054-15513.92449)/494274.03793*100)</f>
        <v>-0.2880879513646761</v>
      </c>
      <c r="G46" s="24">
        <f>IF(OR(599501.49446="",16672.43412="",14089.98054=""),"-",(16672.43412-14089.98054)/599501.49446*100)</f>
        <v>0.4307668294181889</v>
      </c>
    </row>
    <row r="47" spans="1:7" s="16" customFormat="1" ht="15.75">
      <c r="A47" s="14" t="s">
        <v>71</v>
      </c>
      <c r="B47" s="24">
        <f>IF(17390.42168="","-",17390.42168)</f>
        <v>17390.42168</v>
      </c>
      <c r="C47" s="24" t="s">
        <v>200</v>
      </c>
      <c r="D47" s="24">
        <f>IF(10518.05913="","-",10518.05913/599501.49446*100)</f>
        <v>1.7544675413151596</v>
      </c>
      <c r="E47" s="24">
        <f>IF(17390.42168="","-",17390.42168/801882.3303*100)</f>
        <v>2.1686999479704085</v>
      </c>
      <c r="F47" s="24">
        <f>IF(OR(494274.03793="",9810.5709="",10518.05913=""),"-",(10518.05913-9810.5709)/494274.03793*100)</f>
        <v>0.14313683821285286</v>
      </c>
      <c r="G47" s="24">
        <f>IF(OR(599501.49446="",17390.42168="",10518.05913=""),"-",(17390.42168-10518.05913)/599501.49446*100)</f>
        <v>1.1463461915454056</v>
      </c>
    </row>
    <row r="48" spans="1:7" s="16" customFormat="1" ht="14.25" customHeight="1">
      <c r="A48" s="14" t="s">
        <v>72</v>
      </c>
      <c r="B48" s="24">
        <f>IF(6847.39515="","-",6847.39515)</f>
        <v>6847.39515</v>
      </c>
      <c r="C48" s="24">
        <f>IF(OR(4630.41928="",6847.39515=""),"-",6847.39515/4630.41928*100)</f>
        <v>147.87851241842617</v>
      </c>
      <c r="D48" s="24">
        <f>IF(4630.41928="","-",4630.41928/599501.49446*100)</f>
        <v>0.7723782714121243</v>
      </c>
      <c r="E48" s="24">
        <f>IF(6847.39515="","-",6847.39515/801882.3303*100)</f>
        <v>0.8539152056684245</v>
      </c>
      <c r="F48" s="24">
        <f>IF(OR(494274.03793="",4867.9748="",4630.41928=""),"-",(4630.41928-4867.9748)/494274.03793*100)</f>
        <v>-0.048061500659608375</v>
      </c>
      <c r="G48" s="24">
        <f>IF(OR(599501.49446="",6847.39515="",4630.41928=""),"-",(6847.39515-4630.41928)/599501.49446*100)</f>
        <v>0.3698032265952794</v>
      </c>
    </row>
    <row r="49" spans="1:7" s="16" customFormat="1" ht="13.5" customHeight="1">
      <c r="A49" s="14" t="s">
        <v>73</v>
      </c>
      <c r="B49" s="24">
        <f>IF(13447.66192="","-",13447.66192)</f>
        <v>13447.66192</v>
      </c>
      <c r="C49" s="24">
        <f>IF(OR(9791.05958="",13447.66192=""),"-",13447.66192/9791.05958*100)</f>
        <v>137.3463393836278</v>
      </c>
      <c r="D49" s="24">
        <f>IF(9791.05958="","-",9791.05958/599501.49446*100)</f>
        <v>1.6332001955757058</v>
      </c>
      <c r="E49" s="24">
        <f>IF(13447.66192="","-",13447.66192/801882.3303*100)</f>
        <v>1.677011877162696</v>
      </c>
      <c r="F49" s="24">
        <f>IF(OR(494274.03793="",8153.9268="",9791.05958=""),"-",(9791.05958-8153.9268)/494274.03793*100)</f>
        <v>0.3312196584016927</v>
      </c>
      <c r="G49" s="24">
        <f>IF(OR(599501.49446="",13447.66192="",9791.05958=""),"-",(13447.66192-9791.05958)/599501.49446*100)</f>
        <v>0.609940487853776</v>
      </c>
    </row>
    <row r="50" spans="1:7" s="16" customFormat="1" ht="16.5" customHeight="1">
      <c r="A50" s="14" t="s">
        <v>74</v>
      </c>
      <c r="B50" s="24">
        <f>IF(15934.96887="","-",15934.96887)</f>
        <v>15934.96887</v>
      </c>
      <c r="C50" s="24" t="s">
        <v>202</v>
      </c>
      <c r="D50" s="24">
        <f>IF(8472.83983="","-",8472.83983/599501.49446*100)</f>
        <v>1.4133142132751308</v>
      </c>
      <c r="E50" s="24">
        <f>IF(15934.96887="","-",15934.96887/801882.3303*100)</f>
        <v>1.9871954110821237</v>
      </c>
      <c r="F50" s="24">
        <f>IF(OR(494274.03793="",8225.94376="",8472.83983=""),"-",(8472.83983-8225.94376)/494274.03793*100)</f>
        <v>0.04995125194800674</v>
      </c>
      <c r="G50" s="24">
        <f>IF(OR(599501.49446="",15934.96887="",8472.83983=""),"-",(15934.96887-8472.83983)/599501.49446*100)</f>
        <v>1.2447223416384476</v>
      </c>
    </row>
    <row r="51" spans="1:7" s="16" customFormat="1" ht="27.75" customHeight="1">
      <c r="A51" s="15" t="s">
        <v>75</v>
      </c>
      <c r="B51" s="23">
        <f>IF(157827.48982="","-",157827.48982)</f>
        <v>157827.48982</v>
      </c>
      <c r="C51" s="23">
        <f>IF(108553.73089="","-",157827.48982/108553.73089*100)</f>
        <v>145.3911243086893</v>
      </c>
      <c r="D51" s="23">
        <f>IF(108553.73089="","-",108553.73089/599501.49446*100)</f>
        <v>18.107332824546102</v>
      </c>
      <c r="E51" s="23">
        <f>IF(157827.48982="","-",157827.48982/801882.3303*100)</f>
        <v>19.68212590006237</v>
      </c>
      <c r="F51" s="23">
        <f>IF(494274.03793="","-",(108553.73089-97550.71948)/494274.03793*100)</f>
        <v>2.2260953571585875</v>
      </c>
      <c r="G51" s="23">
        <f>IF(599501.49446="","-",(157827.48982-108553.73089)/599501.49446*100)</f>
        <v>8.219121951377826</v>
      </c>
    </row>
    <row r="52" spans="1:7" s="16" customFormat="1" ht="15.75">
      <c r="A52" s="14" t="s">
        <v>76</v>
      </c>
      <c r="B52" s="24">
        <f>IF(10747.26086="","-",10747.26086)</f>
        <v>10747.26086</v>
      </c>
      <c r="C52" s="24" t="s">
        <v>199</v>
      </c>
      <c r="D52" s="24">
        <f>IF(6116.71242="","-",6116.71242/599501.49446*100)</f>
        <v>1.0202997784867274</v>
      </c>
      <c r="E52" s="24">
        <f>IF(10747.26086="","-",10747.26086/801882.3303*100)</f>
        <v>1.34025410635738</v>
      </c>
      <c r="F52" s="24">
        <f>IF(OR(494274.03793="",5149.65513="",6116.71242=""),"-",(6116.71242-5149.65513)/494274.03793*100)</f>
        <v>0.1956520504394682</v>
      </c>
      <c r="G52" s="24">
        <f>IF(OR(599501.49446="",10747.26086="",6116.71242=""),"-",(10747.26086-6116.71242)/599501.49446*100)</f>
        <v>0.7723998159789343</v>
      </c>
    </row>
    <row r="53" spans="1:7" s="16" customFormat="1" ht="15" customHeight="1">
      <c r="A53" s="14" t="s">
        <v>77</v>
      </c>
      <c r="B53" s="24">
        <f>IF(8888.8179="","-",8888.8179)</f>
        <v>8888.8179</v>
      </c>
      <c r="C53" s="24">
        <f>IF(OR(6716.27765="",8888.8179=""),"-",8888.8179/6716.27765*100)</f>
        <v>132.34738590653708</v>
      </c>
      <c r="D53" s="24">
        <f>IF(6716.27765="","-",6716.27765/599501.49446*100)</f>
        <v>1.1203104099097663</v>
      </c>
      <c r="E53" s="24">
        <f>IF(8888.8179="","-",8888.8179/801882.3303*100)</f>
        <v>1.1084940475835798</v>
      </c>
      <c r="F53" s="24">
        <f>IF(OR(494274.03793="",6967.08197="",6716.27765=""),"-",(6716.27765-6967.08197)/494274.03793*100)</f>
        <v>-0.05074195704276896</v>
      </c>
      <c r="G53" s="24">
        <f>IF(OR(599501.49446="",8888.8179="",6716.27765=""),"-",(8888.8179-6716.27765)/599501.49446*100)</f>
        <v>0.36239113164461956</v>
      </c>
    </row>
    <row r="54" spans="1:7" s="16" customFormat="1" ht="13.5" customHeight="1">
      <c r="A54" s="14" t="s">
        <v>78</v>
      </c>
      <c r="B54" s="24">
        <f>IF(10270.4479="","-",10270.4479)</f>
        <v>10270.4479</v>
      </c>
      <c r="C54" s="24" t="s">
        <v>201</v>
      </c>
      <c r="D54" s="24">
        <f>IF(6456.74302="","-",6456.74302/599501.49446*100)</f>
        <v>1.0770186696224837</v>
      </c>
      <c r="E54" s="24">
        <f>IF(10270.4479="","-",10270.4479/801882.3303*100)</f>
        <v>1.2807923945845796</v>
      </c>
      <c r="F54" s="24">
        <f>IF(OR(494274.03793="",5352.51957="",6456.74302=""),"-",(6456.74302-5352.51957)/494274.03793*100)</f>
        <v>0.22340308518417096</v>
      </c>
      <c r="G54" s="24">
        <f>IF(OR(599501.49446="",10270.4479="",6456.74302=""),"-",(10270.4479-6456.74302)/599501.49446*100)</f>
        <v>0.6361460171896965</v>
      </c>
    </row>
    <row r="55" spans="1:7" s="16" customFormat="1" ht="25.5">
      <c r="A55" s="14" t="s">
        <v>79</v>
      </c>
      <c r="B55" s="24">
        <f>IF(14574.07364="","-",14574.07364)</f>
        <v>14574.07364</v>
      </c>
      <c r="C55" s="24">
        <f>IF(OR(11002.93364="",14574.07364=""),"-",14574.07364/11002.93364*100)</f>
        <v>132.4562531852187</v>
      </c>
      <c r="D55" s="24">
        <f>IF(11002.93364="","-",11002.93364/599501.49446*100)</f>
        <v>1.835347157876708</v>
      </c>
      <c r="E55" s="24">
        <f>IF(14574.07364="","-",14574.07364/801882.3303*100)</f>
        <v>1.8174828262580063</v>
      </c>
      <c r="F55" s="24">
        <f>IF(OR(494274.03793="",9607.73837="",11002.93364=""),"-",(11002.93364-9607.73837)/494274.03793*100)</f>
        <v>0.28227160703059023</v>
      </c>
      <c r="G55" s="24">
        <f>IF(OR(599501.49446="",14574.07364="",11002.93364=""),"-",(14574.07364-11002.93364)/599501.49446*100)</f>
        <v>0.5956849203881802</v>
      </c>
    </row>
    <row r="56" spans="1:7" s="16" customFormat="1" ht="25.5">
      <c r="A56" s="14" t="s">
        <v>80</v>
      </c>
      <c r="B56" s="24">
        <f>IF(48455.41867="","-",48455.41867)</f>
        <v>48455.41867</v>
      </c>
      <c r="C56" s="24">
        <f>IF(OR(37817.98673="",48455.41867=""),"-",48455.41867/37817.98673*100)</f>
        <v>128.12796994177802</v>
      </c>
      <c r="D56" s="24">
        <f>IF(37817.98673="","-",37817.98673/599501.49446*100)</f>
        <v>6.308238941766857</v>
      </c>
      <c r="E56" s="24">
        <f>IF(48455.41867="","-",48455.41867/801882.3303*100)</f>
        <v>6.042709365085008</v>
      </c>
      <c r="F56" s="24">
        <f>IF(OR(494274.03793="",33060.52302="",37817.98673=""),"-",(37817.98673-33060.52302)/494274.03793*100)</f>
        <v>0.9625153952904477</v>
      </c>
      <c r="G56" s="24">
        <f>IF(OR(599501.49446="",48455.41867="",37817.98673=""),"-",(48455.41867-37817.98673)/599501.49446*100)</f>
        <v>1.774379553395718</v>
      </c>
    </row>
    <row r="57" spans="1:7" s="16" customFormat="1" ht="13.5" customHeight="1">
      <c r="A57" s="14" t="s">
        <v>81</v>
      </c>
      <c r="B57" s="24">
        <f>IF(14358.53043="","-",14358.53043)</f>
        <v>14358.53043</v>
      </c>
      <c r="C57" s="24">
        <f>IF(OR(9582.75484="",14358.53043=""),"-",14358.53043/9582.75484*100)</f>
        <v>149.8371884676119</v>
      </c>
      <c r="D57" s="24">
        <f>IF(9582.75484="","-",9582.75484/599501.49446*100)</f>
        <v>1.5984538701828679</v>
      </c>
      <c r="E57" s="24">
        <f>IF(14358.53043="","-",14358.53043/801882.3303*100)</f>
        <v>1.7906031704961238</v>
      </c>
      <c r="F57" s="24">
        <f>IF(OR(494274.03793="",10137.81383="",9582.75484=""),"-",(9582.75484-10137.81383)/494274.03793*100)</f>
        <v>-0.11229782416340629</v>
      </c>
      <c r="G57" s="24">
        <f>IF(OR(599501.49446="",14358.53043="",9582.75484=""),"-",(14358.53043-9582.75484)/599501.49446*100)</f>
        <v>0.7966244678508723</v>
      </c>
    </row>
    <row r="58" spans="1:7" s="16" customFormat="1" ht="14.25" customHeight="1">
      <c r="A58" s="14" t="s">
        <v>82</v>
      </c>
      <c r="B58" s="24">
        <f>IF(13518.37899="","-",13518.37899)</f>
        <v>13518.37899</v>
      </c>
      <c r="C58" s="24">
        <f>IF(OR(9285.34296="",13518.37899=""),"-",13518.37899/9285.34296*100)</f>
        <v>145.5883648911553</v>
      </c>
      <c r="D58" s="24">
        <f>IF(9285.34296="","-",9285.34296/599501.49446*100)</f>
        <v>1.5488440055289199</v>
      </c>
      <c r="E58" s="24">
        <f>IF(13518.37899="","-",13518.37899/801882.3303*100)</f>
        <v>1.6858307608477303</v>
      </c>
      <c r="F58" s="24">
        <f>IF(OR(494274.03793="",7167.71008="",9285.34296=""),"-",(9285.34296-7167.71008)/494274.03793*100)</f>
        <v>0.42843295773101137</v>
      </c>
      <c r="G58" s="24">
        <f>IF(OR(599501.49446="",13518.37899="",9285.34296=""),"-",(13518.37899-9285.34296)/599501.49446*100)</f>
        <v>0.7060926568353095</v>
      </c>
    </row>
    <row r="59" spans="1:7" s="16" customFormat="1" ht="14.25" customHeight="1">
      <c r="A59" s="14" t="s">
        <v>83</v>
      </c>
      <c r="B59" s="24">
        <f>IF(15815.47557="","-",15815.47557)</f>
        <v>15815.47557</v>
      </c>
      <c r="C59" s="24" t="s">
        <v>25</v>
      </c>
      <c r="D59" s="24">
        <f>IF(7918.62059="","-",7918.62059/599501.49446*100)</f>
        <v>1.320867531303268</v>
      </c>
      <c r="E59" s="24">
        <f>IF(15815.47557="","-",15815.47557/801882.3303*100)</f>
        <v>1.972293810749405</v>
      </c>
      <c r="F59" s="24">
        <f>IF(OR(494274.03793="",7334.69417="",7918.62059=""),"-",(7918.62059-7334.69417)/494274.03793*100)</f>
        <v>0.11813819363150477</v>
      </c>
      <c r="G59" s="24">
        <f>IF(OR(599501.49446="",15815.47557="",7918.62059=""),"-",(15815.47557-7918.62059)/599501.49446*100)</f>
        <v>1.3172369131645085</v>
      </c>
    </row>
    <row r="60" spans="1:7" s="16" customFormat="1" ht="15" customHeight="1">
      <c r="A60" s="14" t="s">
        <v>84</v>
      </c>
      <c r="B60" s="24">
        <f>IF(21199.08586="","-",21199.08586)</f>
        <v>21199.08586</v>
      </c>
      <c r="C60" s="24" t="s">
        <v>201</v>
      </c>
      <c r="D60" s="24">
        <f>IF(13656.35904="","-",13656.35904/599501.49446*100)</f>
        <v>2.277952459868502</v>
      </c>
      <c r="E60" s="24">
        <f>IF(21199.08586="","-",21199.08586/801882.3303*100)</f>
        <v>2.6436654181005586</v>
      </c>
      <c r="F60" s="24">
        <f>IF(OR(494274.03793="",12772.98334="",13656.35904=""),"-",(13656.35904-12772.98334)/494274.03793*100)</f>
        <v>0.17872184905756752</v>
      </c>
      <c r="G60" s="24">
        <f>IF(OR(599501.49446="",21199.08586="",13656.35904=""),"-",(21199.08586-13656.35904)/599501.49446*100)</f>
        <v>1.2581664749299915</v>
      </c>
    </row>
    <row r="61" spans="1:7" s="16" customFormat="1" ht="15" customHeight="1">
      <c r="A61" s="15" t="s">
        <v>85</v>
      </c>
      <c r="B61" s="23">
        <f>IF(180720.20382="","-",180720.20382)</f>
        <v>180720.20382</v>
      </c>
      <c r="C61" s="23">
        <f>IF(122820.02265="","-",180720.20382/122820.02265*100)</f>
        <v>147.14229807219465</v>
      </c>
      <c r="D61" s="23">
        <f>IF(122820.02265="","-",122820.02265/599501.49446*100)</f>
        <v>20.487025267656747</v>
      </c>
      <c r="E61" s="23">
        <f>IF(180720.20382="","-",180720.20382/801882.3303*100)</f>
        <v>22.536997885012504</v>
      </c>
      <c r="F61" s="23">
        <f>IF(494274.03793="","-",(122820.02265-95475.87453)/494274.03793*100)</f>
        <v>5.532183772895741</v>
      </c>
      <c r="G61" s="23">
        <f>IF(599501.49446="","-",(180720.20382-122820.02265)/599501.49446*100)</f>
        <v>9.65805451780458</v>
      </c>
    </row>
    <row r="62" spans="1:7" s="16" customFormat="1" ht="25.5">
      <c r="A62" s="14" t="s">
        <v>109</v>
      </c>
      <c r="B62" s="24">
        <f>IF(3670.10649="","-",3670.10649)</f>
        <v>3670.10649</v>
      </c>
      <c r="C62" s="24" t="s">
        <v>201</v>
      </c>
      <c r="D62" s="24">
        <f>IF(2296.98043="","-",2296.98043/599501.49446*100)</f>
        <v>0.38314840767311203</v>
      </c>
      <c r="E62" s="24">
        <f>IF(3670.10649="","-",3670.10649/801882.3303*100)</f>
        <v>0.457686414991454</v>
      </c>
      <c r="F62" s="24">
        <f>IF(OR(494274.03793="",1029.06699="",2296.98043=""),"-",(2296.98043-1029.06699)/494274.03793*100)</f>
        <v>0.25652033946795405</v>
      </c>
      <c r="G62" s="24">
        <f>IF(OR(599501.49446="",3670.10649="",2296.98043=""),"-",(3670.10649-2296.98043)/599501.49446*100)</f>
        <v>0.22904464337271438</v>
      </c>
    </row>
    <row r="63" spans="1:7" s="16" customFormat="1" ht="25.5">
      <c r="A63" s="14" t="s">
        <v>87</v>
      </c>
      <c r="B63" s="24">
        <f>IF(24406.50155="","-",24406.50155)</f>
        <v>24406.50155</v>
      </c>
      <c r="C63" s="24" t="s">
        <v>200</v>
      </c>
      <c r="D63" s="24">
        <f>IF(14258.78583="","-",14258.78583/599501.49446*100)</f>
        <v>2.3784404145386793</v>
      </c>
      <c r="E63" s="24">
        <f>IF(24406.50155="","-",24406.50155/801882.3303*100)</f>
        <v>3.043651247542647</v>
      </c>
      <c r="F63" s="24">
        <f>IF(OR(494274.03793="",11871.29397="",14258.78583=""),"-",(14258.78583-11871.29397)/494274.03793*100)</f>
        <v>0.48302999485846376</v>
      </c>
      <c r="G63" s="24">
        <f>IF(OR(599501.49446="",24406.50155="",14258.78583=""),"-",(24406.50155-14258.78583)/599501.49446*100)</f>
        <v>1.6926923141602073</v>
      </c>
    </row>
    <row r="64" spans="1:7" s="16" customFormat="1" ht="25.5">
      <c r="A64" s="14" t="s">
        <v>88</v>
      </c>
      <c r="B64" s="24">
        <f>IF(1596.32965="","-",1596.32965)</f>
        <v>1596.32965</v>
      </c>
      <c r="C64" s="24">
        <f>IF(OR(1102.00211="",1596.32965=""),"-",1596.32965/1102.00211*100)</f>
        <v>144.85722264179694</v>
      </c>
      <c r="D64" s="24">
        <f>IF(1102.00211="","-",1102.00211/599501.49446*100)</f>
        <v>0.18381974360091072</v>
      </c>
      <c r="E64" s="24">
        <f>IF(1596.32965="","-",1596.32965/801882.3303*100)</f>
        <v>0.19907280528338633</v>
      </c>
      <c r="F64" s="24">
        <f>IF(OR(494274.03793="",770.60086="",1102.00211=""),"-",(1102.00211-770.60086)/494274.03793*100)</f>
        <v>0.06704807952040029</v>
      </c>
      <c r="G64" s="24">
        <f>IF(OR(599501.49446="",1596.32965="",1102.00211=""),"-",(1596.32965-1102.00211)/599501.49446*100)</f>
        <v>0.08245643164664081</v>
      </c>
    </row>
    <row r="65" spans="1:7" s="16" customFormat="1" ht="38.25">
      <c r="A65" s="14" t="s">
        <v>89</v>
      </c>
      <c r="B65" s="24">
        <f>IF(19876.56319="","-",19876.56319)</f>
        <v>19876.56319</v>
      </c>
      <c r="C65" s="24">
        <f>IF(OR(15357.74598="",19876.56319=""),"-",19876.56319/15357.74598*100)</f>
        <v>129.4237006907442</v>
      </c>
      <c r="D65" s="24">
        <f>IF(15357.74598="","-",15357.74598/599501.49446*100)</f>
        <v>2.561752743224346</v>
      </c>
      <c r="E65" s="24">
        <f>IF(19876.56319="","-",19876.56319/801882.3303*100)</f>
        <v>2.478738143857564</v>
      </c>
      <c r="F65" s="24">
        <f>IF(OR(494274.03793="",12314.15459="",15357.74598=""),"-",(15357.74598-12314.15459)/494274.03793*100)</f>
        <v>0.615770029667437</v>
      </c>
      <c r="G65" s="24">
        <f>IF(OR(599501.49446="",19876.56319="",15357.74598=""),"-",(19876.56319-15357.74598)/599501.49446*100)</f>
        <v>0.7537624596032607</v>
      </c>
    </row>
    <row r="66" spans="1:7" s="16" customFormat="1" ht="25.5">
      <c r="A66" s="14" t="s">
        <v>90</v>
      </c>
      <c r="B66" s="24">
        <f>IF(9292.71957="","-",9292.71957)</f>
        <v>9292.71957</v>
      </c>
      <c r="C66" s="24" t="s">
        <v>201</v>
      </c>
      <c r="D66" s="24">
        <f>IF(5819.1333="","-",5819.1333/599501.49446*100)</f>
        <v>0.9706620173218377</v>
      </c>
      <c r="E66" s="24">
        <f>IF(9292.71957="","-",9292.71957/801882.3303*100)</f>
        <v>1.1588632420075162</v>
      </c>
      <c r="F66" s="24">
        <f>IF(OR(494274.03793="",4088.16837="",5819.1333=""),"-",(5819.1333-4088.16837)/494274.03793*100)</f>
        <v>0.3502034897987385</v>
      </c>
      <c r="G66" s="24">
        <f>IF(OR(599501.49446="",9292.71957="",5819.1333=""),"-",(9292.71957-5819.1333)/599501.49446*100)</f>
        <v>0.5794124455233971</v>
      </c>
    </row>
    <row r="67" spans="1:7" s="16" customFormat="1" ht="38.25">
      <c r="A67" s="14" t="s">
        <v>91</v>
      </c>
      <c r="B67" s="24">
        <f>IF(21016.08504="","-",21016.08504)</f>
        <v>21016.08504</v>
      </c>
      <c r="C67" s="24" t="s">
        <v>201</v>
      </c>
      <c r="D67" s="24">
        <f>IF(13545.96155="","-",13545.96155/599501.49446*100)</f>
        <v>2.2595375783343967</v>
      </c>
      <c r="E67" s="24">
        <f>IF(21016.08504="","-",21016.08504/801882.3303*100)</f>
        <v>2.6208440123799046</v>
      </c>
      <c r="F67" s="24">
        <f>IF(OR(494274.03793="",6322.56966="",13545.96155=""),"-",(13545.96155-6322.56966)/494274.03793*100)</f>
        <v>1.4614143846703498</v>
      </c>
      <c r="G67" s="24">
        <f>IF(OR(599501.49446="",21016.08504="",13545.96155=""),"-",(21016.08504-13545.96155)/599501.49446*100)</f>
        <v>1.2460558579138663</v>
      </c>
    </row>
    <row r="68" spans="1:7" s="16" customFormat="1" ht="38.25" customHeight="1">
      <c r="A68" s="14" t="s">
        <v>92</v>
      </c>
      <c r="B68" s="24">
        <f>IF(61374.97093="","-",61374.97093)</f>
        <v>61374.97093</v>
      </c>
      <c r="C68" s="24" t="s">
        <v>201</v>
      </c>
      <c r="D68" s="24">
        <f>IF(39519.58868="","-",39519.58868/599501.49446*100)</f>
        <v>6.592075089920703</v>
      </c>
      <c r="E68" s="24">
        <f>IF(61374.97093="","-",61374.97093/801882.3303*100)</f>
        <v>7.653862494642875</v>
      </c>
      <c r="F68" s="24">
        <f>IF(OR(494274.03793="",32910.69071="",39519.58868=""),"-",(39519.58868-32910.69071)/494274.03793*100)</f>
        <v>1.3370918686479671</v>
      </c>
      <c r="G68" s="24">
        <f>IF(OR(599501.49446="",61374.97093="",39519.58868=""),"-",(61374.97093-39519.58868)/599501.49446*100)</f>
        <v>3.6455926218643047</v>
      </c>
    </row>
    <row r="69" spans="1:7" s="16" customFormat="1" ht="25.5">
      <c r="A69" s="14" t="s">
        <v>93</v>
      </c>
      <c r="B69" s="24">
        <f>IF(39246.26446="","-",39246.26446)</f>
        <v>39246.26446</v>
      </c>
      <c r="C69" s="24">
        <f>IF(OR(30524.37189="",39246.26446=""),"-",39246.26446/30524.37189*100)</f>
        <v>128.573536587193</v>
      </c>
      <c r="D69" s="24">
        <f>IF(30524.37189="","-",30524.37189/599501.49446*100)</f>
        <v>5.091625654327147</v>
      </c>
      <c r="E69" s="24">
        <f>IF(39246.26446="","-",39246.26446/801882.3303*100)</f>
        <v>4.894267273019621</v>
      </c>
      <c r="F69" s="24">
        <f>IF(OR(494274.03793="",26058.4814699999="",30524.37189=""),"-",(30524.37189-26058.4814699999)/494274.03793*100)</f>
        <v>0.9035251858873814</v>
      </c>
      <c r="G69" s="24">
        <f>IF(OR(599501.49446="",39246.26446="",30524.37189=""),"-",(39246.26446-30524.37189)/599501.49446*100)</f>
        <v>1.4548575192220716</v>
      </c>
    </row>
    <row r="70" spans="1:7" s="16" customFormat="1" ht="14.25" customHeight="1">
      <c r="A70" s="14" t="s">
        <v>94</v>
      </c>
      <c r="B70" s="24">
        <f>IF(240.66294="","-",240.66294)</f>
        <v>240.66294</v>
      </c>
      <c r="C70" s="24">
        <f>IF(OR(395.45288="",240.66294=""),"-",240.66294/395.45288*100)</f>
        <v>60.85755147364207</v>
      </c>
      <c r="D70" s="24">
        <f>IF(395.45288="","-",395.45288/599501.49446*100)</f>
        <v>0.06596361871561364</v>
      </c>
      <c r="E70" s="24">
        <f>IF(240.66294="","-",240.66294/801882.3303*100)</f>
        <v>0.030012251287537813</v>
      </c>
      <c r="F70" s="24">
        <f>IF(OR(494274.03793="",110.84791="",395.45288=""),"-",(395.45288-110.84791)/494274.03793*100)</f>
        <v>0.05758040037706902</v>
      </c>
      <c r="G70" s="24">
        <f>IF(OR(599501.49446="",240.66294="",395.45288=""),"-",(240.66294-395.45288)/599501.49446*100)</f>
        <v>-0.025819775501882077</v>
      </c>
    </row>
    <row r="71" spans="1:7" s="16" customFormat="1" ht="13.5" customHeight="1">
      <c r="A71" s="15" t="s">
        <v>95</v>
      </c>
      <c r="B71" s="23">
        <f>IF(80116.45365="","-",80116.45365)</f>
        <v>80116.45365</v>
      </c>
      <c r="C71" s="23">
        <f>IF(66168.97889="","-",80116.45365/66168.97889*100)</f>
        <v>121.07857034213332</v>
      </c>
      <c r="D71" s="23">
        <f>IF(66168.97889="","-",66168.97889/599501.49446*100)</f>
        <v>11.037333434773437</v>
      </c>
      <c r="E71" s="23">
        <f>IF(80116.45365="","-",80116.45365/801882.3303*100)</f>
        <v>9.991048639271904</v>
      </c>
      <c r="F71" s="23">
        <f>IF(494274.03793="","-",(66168.97889-44648.17523)/494274.03793*100)</f>
        <v>4.35402266931281</v>
      </c>
      <c r="G71" s="23">
        <f>IF(599501.49446="","-",(80116.45365-66168.97889)/599501.49446*100)</f>
        <v>2.326512091944519</v>
      </c>
    </row>
    <row r="72" spans="1:7" s="16" customFormat="1" ht="38.25">
      <c r="A72" s="14" t="s">
        <v>96</v>
      </c>
      <c r="B72" s="24">
        <f>IF(5234.89591="","-",5234.89591)</f>
        <v>5234.89591</v>
      </c>
      <c r="C72" s="24">
        <f>IF(OR(4539.18764="",5234.89591=""),"-",5234.89591/4539.18764*100)</f>
        <v>115.32671317372551</v>
      </c>
      <c r="D72" s="24">
        <f>IF(4539.18764="","-",4539.18764/599501.49446*100)</f>
        <v>0.7571603543855493</v>
      </c>
      <c r="E72" s="24">
        <f>IF(5234.89591="","-",5234.89591/801882.3303*100)</f>
        <v>0.6528259461761081</v>
      </c>
      <c r="F72" s="24">
        <f>IF(OR(494274.03793="",3406.25814="",4539.18764=""),"-",(4539.18764-3406.25814)/494274.03793*100)</f>
        <v>0.22921080474804298</v>
      </c>
      <c r="G72" s="24">
        <f>IF(OR(599501.49446="",5234.89591="",4539.18764=""),"-",(5234.89591-4539.18764)/599501.49446*100)</f>
        <v>0.11604779578183674</v>
      </c>
    </row>
    <row r="73" spans="1:7" s="16" customFormat="1" ht="14.25" customHeight="1">
      <c r="A73" s="14" t="s">
        <v>97</v>
      </c>
      <c r="B73" s="24">
        <f>IF(7211.11286="","-",7211.11286)</f>
        <v>7211.11286</v>
      </c>
      <c r="C73" s="24">
        <f>IF(OR(6295.39825="",7211.11286=""),"-",7211.11286/6295.39825*100)</f>
        <v>114.54577730646349</v>
      </c>
      <c r="D73" s="24">
        <f>IF(6295.39825="","-",6295.39825/599501.49446*100)</f>
        <v>1.050105514027212</v>
      </c>
      <c r="E73" s="24">
        <f>IF(7211.11286="","-",7211.11286/801882.3303*100)</f>
        <v>0.8992731960189446</v>
      </c>
      <c r="F73" s="24">
        <f>IF(OR(494274.03793="",5211.4612="",6295.39825=""),"-",(6295.39825-5211.4612)/494274.03793*100)</f>
        <v>0.21929880325891396</v>
      </c>
      <c r="G73" s="24">
        <f>IF(OR(599501.49446="",7211.11286="",6295.39825=""),"-",(7211.11286-6295.39825)/599501.49446*100)</f>
        <v>0.15274600955329204</v>
      </c>
    </row>
    <row r="74" spans="1:7" s="16" customFormat="1" ht="15.75">
      <c r="A74" s="14" t="s">
        <v>98</v>
      </c>
      <c r="B74" s="24">
        <f>IF(1229.27709="","-",1229.27709)</f>
        <v>1229.27709</v>
      </c>
      <c r="C74" s="24">
        <f>IF(OR(4532.96274="",1229.27709=""),"-",1229.27709/4532.96274*100)</f>
        <v>27.118623304633648</v>
      </c>
      <c r="D74" s="24">
        <f>IF(4532.96274="","-",4532.96274/599501.49446*100)</f>
        <v>0.7561220083501308</v>
      </c>
      <c r="E74" s="24">
        <f>IF(1229.27709="","-",1229.27709/801882.3303*100)</f>
        <v>0.153298937206922</v>
      </c>
      <c r="F74" s="24">
        <f>IF(OR(494274.03793="",645.08862="",4532.96274=""),"-",(4532.96274-645.08862)/494274.03793*100)</f>
        <v>0.78658270951925</v>
      </c>
      <c r="G74" s="24">
        <f>IF(OR(599501.49446="",1229.27709="",4532.96274=""),"-",(1229.27709-4532.96274)/599501.49446*100)</f>
        <v>-0.5510721291822283</v>
      </c>
    </row>
    <row r="75" spans="1:7" s="16" customFormat="1" ht="14.25" customHeight="1">
      <c r="A75" s="14" t="s">
        <v>99</v>
      </c>
      <c r="B75" s="24">
        <f>IF(21406.45716="","-",21406.45716)</f>
        <v>21406.45716</v>
      </c>
      <c r="C75" s="24">
        <f>IF(OR(17114.18824="",21406.45716=""),"-",21406.45716/17114.18824*100)</f>
        <v>125.08017826967645</v>
      </c>
      <c r="D75" s="24">
        <f>IF(17114.18824="","-",17114.18824/599501.49446*100)</f>
        <v>2.854736543303462</v>
      </c>
      <c r="E75" s="24">
        <f>IF(21406.45716="","-",21406.45716/801882.3303*100)</f>
        <v>2.6695259829445828</v>
      </c>
      <c r="F75" s="24">
        <f>IF(OR(494274.03793="",11192.11039="",17114.18824=""),"-",(17114.18824-11192.11039)/494274.03793*100)</f>
        <v>1.1981365387511402</v>
      </c>
      <c r="G75" s="24">
        <f>IF(OR(599501.49446="",21406.45716="",17114.18824=""),"-",(21406.45716-17114.18824)/599501.49446*100)</f>
        <v>0.7159730141901075</v>
      </c>
    </row>
    <row r="76" spans="1:7" s="16" customFormat="1" ht="15" customHeight="1">
      <c r="A76" s="14" t="s">
        <v>100</v>
      </c>
      <c r="B76" s="24">
        <f>IF(6602.98645="","-",6602.98645)</f>
        <v>6602.98645</v>
      </c>
      <c r="C76" s="24">
        <f>IF(OR(4645.10437="",6602.98645=""),"-",6602.98645/4645.10437*100)</f>
        <v>142.14936681820996</v>
      </c>
      <c r="D76" s="24">
        <f>IF(4645.10437="","-",4645.10437/599501.49446*100)</f>
        <v>0.7748278216026918</v>
      </c>
      <c r="E76" s="24">
        <f>IF(6602.98645="","-",6602.98645/801882.3303*100)</f>
        <v>0.8234358334756787</v>
      </c>
      <c r="F76" s="24">
        <f>IF(OR(494274.03793="",2792.38195="",4645.10437=""),"-",(4645.10437-2792.38195)/494274.03793*100)</f>
        <v>0.37483708991860626</v>
      </c>
      <c r="G76" s="24">
        <f>IF(OR(599501.49446="",6602.98645="",4645.10437=""),"-",(6602.98645-4645.10437)/599501.49446*100)</f>
        <v>0.32658502073686396</v>
      </c>
    </row>
    <row r="77" spans="1:7" s="16" customFormat="1" ht="25.5">
      <c r="A77" s="14" t="s">
        <v>101</v>
      </c>
      <c r="B77" s="24">
        <f>IF(8513.01201="","-",8513.01201)</f>
        <v>8513.01201</v>
      </c>
      <c r="C77" s="24">
        <f>IF(OR(6167.72066="",8513.01201=""),"-",8513.01201/6167.72066*100)</f>
        <v>138.02525242769346</v>
      </c>
      <c r="D77" s="24">
        <f>IF(6167.72066="","-",6167.72066/599501.49446*100)</f>
        <v>1.0288082209962737</v>
      </c>
      <c r="E77" s="24">
        <f>IF(8513.01201="","-",8513.01201/801882.3303*100)</f>
        <v>1.0616285816916697</v>
      </c>
      <c r="F77" s="24">
        <f>IF(OR(494274.03793="",4112.23794="",6167.72066=""),"-",(6167.72066-4112.23794)/494274.03793*100)</f>
        <v>0.41585892890678217</v>
      </c>
      <c r="G77" s="24">
        <f>IF(OR(599501.49446="",8513.01201="",6167.72066=""),"-",(8513.01201-6167.72066)/599501.49446*100)</f>
        <v>0.3912069230306954</v>
      </c>
    </row>
    <row r="78" spans="1:7" ht="25.5">
      <c r="A78" s="10" t="s">
        <v>102</v>
      </c>
      <c r="B78" s="24">
        <f>IF(1541.96147="","-",1541.96147)</f>
        <v>1541.96147</v>
      </c>
      <c r="C78" s="24">
        <f>IF(OR(1412.53379="",1541.96147=""),"-",1541.96147/1412.53379*100)</f>
        <v>109.16280239922615</v>
      </c>
      <c r="D78" s="24">
        <f>IF(1412.53379="","-",1412.53379/599501.49446*100)</f>
        <v>0.23561805984692957</v>
      </c>
      <c r="E78" s="24">
        <f>IF(1541.96147="","-",1541.96147/801882.3303*100)</f>
        <v>0.19229273569641095</v>
      </c>
      <c r="F78" s="24">
        <f>IF(OR(494274.03793="",581.11957="",1412.53379=""),"-",(1412.53379-581.11957)/494274.03793*100)</f>
        <v>0.1682091625693977</v>
      </c>
      <c r="G78" s="24">
        <f>IF(OR(599501.49446="",1541.96147="",1412.53379=""),"-",(1541.96147-1412.53379)/599501.49446*100)</f>
        <v>0.02158921724066456</v>
      </c>
    </row>
    <row r="79" spans="1:7" ht="13.5" customHeight="1">
      <c r="A79" s="11" t="s">
        <v>103</v>
      </c>
      <c r="B79" s="24">
        <f>IF(28376.7507="","-",28376.7507)</f>
        <v>28376.7507</v>
      </c>
      <c r="C79" s="24">
        <f>IF(OR(21461.8832="",28376.7507=""),"-",28376.7507/21461.8832*100)</f>
        <v>132.21929518281974</v>
      </c>
      <c r="D79" s="24">
        <f>IF(21461.8832="","-",21461.8832/599501.49446*100)</f>
        <v>3.579954912261188</v>
      </c>
      <c r="E79" s="24">
        <f>IF(28376.7507="","-",28376.7507/801882.3303*100)</f>
        <v>3.538767426061589</v>
      </c>
      <c r="F79" s="24">
        <f>IF(OR(494274.03793="",16707.51742="",21461.8832=""),"-",(21461.8832-16707.51742)/494274.03793*100)</f>
        <v>0.9618886316406774</v>
      </c>
      <c r="G79" s="24">
        <f>IF(OR(599501.49446="",28376.7507="",21461.8832=""),"-",(28376.7507-21461.8832)/599501.49446*100)</f>
        <v>1.1534362405932876</v>
      </c>
    </row>
    <row r="80" spans="1:7" ht="15.75">
      <c r="A80" s="95" t="s">
        <v>111</v>
      </c>
      <c r="B80" s="95"/>
      <c r="C80" s="95"/>
      <c r="D80" s="95"/>
      <c r="E80" s="95"/>
      <c r="F80" s="95"/>
      <c r="G80" s="95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1">
      <selection activeCell="G8" sqref="G8"/>
    </sheetView>
  </sheetViews>
  <sheetFormatPr defaultColWidth="9.00390625" defaultRowHeight="15.75"/>
  <cols>
    <col min="1" max="1" width="42.625" style="0" customWidth="1"/>
    <col min="2" max="3" width="12.25390625" style="0" customWidth="1"/>
    <col min="4" max="4" width="18.625" style="0" customWidth="1"/>
    <col min="6" max="6" width="12.125" style="0" bestFit="1" customWidth="1"/>
  </cols>
  <sheetData>
    <row r="1" spans="1:4" ht="15.75">
      <c r="A1" s="77" t="s">
        <v>274</v>
      </c>
      <c r="B1" s="77"/>
      <c r="C1" s="77"/>
      <c r="D1" s="77"/>
    </row>
    <row r="2" spans="1:4" ht="15.75">
      <c r="A2" s="77" t="s">
        <v>31</v>
      </c>
      <c r="B2" s="77"/>
      <c r="C2" s="77"/>
      <c r="D2" s="77"/>
    </row>
    <row r="3" ht="15.75">
      <c r="A3" s="5"/>
    </row>
    <row r="4" spans="1:5" ht="21.75" customHeight="1">
      <c r="A4" s="79"/>
      <c r="B4" s="83" t="s">
        <v>223</v>
      </c>
      <c r="C4" s="84"/>
      <c r="D4" s="81" t="s">
        <v>276</v>
      </c>
      <c r="E4" s="1"/>
    </row>
    <row r="5" spans="1:5" ht="20.25" customHeight="1">
      <c r="A5" s="80"/>
      <c r="B5" s="46">
        <v>2017</v>
      </c>
      <c r="C5" s="45">
        <v>2018</v>
      </c>
      <c r="D5" s="82"/>
      <c r="E5" s="1"/>
    </row>
    <row r="6" spans="1:6" ht="28.5">
      <c r="A6" s="7" t="s">
        <v>187</v>
      </c>
      <c r="B6" s="43">
        <f>IF(-283437.04997="","-",-283437.04997)</f>
        <v>-283437.04997</v>
      </c>
      <c r="C6" s="43">
        <f>IF(-365627.64557="","-",-365627.64557)</f>
        <v>-365627.64557</v>
      </c>
      <c r="D6" s="43">
        <f>IF(-283437.04997="","-",-365627.64557/-283437.04997*100)</f>
        <v>128.9978305971994</v>
      </c>
      <c r="F6" s="42"/>
    </row>
    <row r="7" spans="1:4" ht="15.75">
      <c r="A7" s="8" t="s">
        <v>29</v>
      </c>
      <c r="B7" s="25"/>
      <c r="C7" s="25"/>
      <c r="D7" s="25"/>
    </row>
    <row r="8" spans="1:4" ht="15.75">
      <c r="A8" s="9" t="s">
        <v>32</v>
      </c>
      <c r="B8" s="23">
        <f>IF(-1339.91947="","-",-1339.91947)</f>
        <v>-1339.91947</v>
      </c>
      <c r="C8" s="23">
        <f>IF(17343.06658="","-",17343.06658)</f>
        <v>17343.06658</v>
      </c>
      <c r="D8" s="23" t="s">
        <v>30</v>
      </c>
    </row>
    <row r="9" spans="1:4" ht="15.75">
      <c r="A9" s="8" t="s">
        <v>33</v>
      </c>
      <c r="B9" s="24">
        <f>IF(OR(-76.02452="",-76.02452=0),"-",-76.02452)</f>
        <v>-76.02452</v>
      </c>
      <c r="C9" s="24">
        <f>IF(OR(1936.71512="",1936.71512=0),"-",1936.71512)</f>
        <v>1936.71512</v>
      </c>
      <c r="D9" s="24" t="s">
        <v>30</v>
      </c>
    </row>
    <row r="10" spans="1:4" ht="15.75">
      <c r="A10" s="8" t="s">
        <v>34</v>
      </c>
      <c r="B10" s="24">
        <f>IF(OR(-1806.03913="",-1806.03913=0),"-",-1806.03913)</f>
        <v>-1806.03913</v>
      </c>
      <c r="C10" s="24">
        <f>IF(OR(-3890.88763="",-3890.88763=0),"-",-3890.88763)</f>
        <v>-3890.88763</v>
      </c>
      <c r="D10" s="24" t="s">
        <v>182</v>
      </c>
    </row>
    <row r="11" spans="1:4" ht="15.75">
      <c r="A11" s="8" t="s">
        <v>35</v>
      </c>
      <c r="B11" s="24">
        <f>IF(OR(-5957.30673="",-5957.30673=0),"-",-5957.30673)</f>
        <v>-5957.30673</v>
      </c>
      <c r="C11" s="24">
        <f>IF(OR(-6276.53983="",-6276.53983=0),"-",-6276.53983)</f>
        <v>-6276.53983</v>
      </c>
      <c r="D11" s="24">
        <f>IF(OR(-5957.30673="",-6276.53983="",-5957.30673=0,-6276.53983=0),"-",-6276.53983/-5957.30673*100)</f>
        <v>105.35868160678037</v>
      </c>
    </row>
    <row r="12" spans="1:4" ht="15.75">
      <c r="A12" s="8" t="s">
        <v>36</v>
      </c>
      <c r="B12" s="24">
        <f>IF(OR(-5647.33175="",-5647.33175=0),"-",-5647.33175)</f>
        <v>-5647.33175</v>
      </c>
      <c r="C12" s="24">
        <f>IF(OR(-8161.00403="",-8161.00403=0),"-",-8161.00403)</f>
        <v>-8161.00403</v>
      </c>
      <c r="D12" s="24">
        <f>IF(OR(-5647.33175="",-8161.00403="",-5647.33175=0,-8161.00403=0),"-",-8161.00403/-5647.33175*100)</f>
        <v>144.5107953858032</v>
      </c>
    </row>
    <row r="13" spans="1:4" ht="15.75">
      <c r="A13" s="8" t="s">
        <v>37</v>
      </c>
      <c r="B13" s="24">
        <f>IF(OR(9584.9489="",9584.9489=0),"-",9584.9489)</f>
        <v>9584.9489</v>
      </c>
      <c r="C13" s="24">
        <f>IF(OR(22960.88443="",22960.88443=0),"-",22960.88443)</f>
        <v>22960.88443</v>
      </c>
      <c r="D13" s="24" t="s">
        <v>115</v>
      </c>
    </row>
    <row r="14" spans="1:4" ht="15.75">
      <c r="A14" s="8" t="s">
        <v>38</v>
      </c>
      <c r="B14" s="24">
        <f>IF(OR(20960.85018="",20960.85018=0),"-",20960.85018)</f>
        <v>20960.85018</v>
      </c>
      <c r="C14" s="24">
        <f>IF(OR(25536.01123="",25536.01123=0),"-",25536.01123)</f>
        <v>25536.01123</v>
      </c>
      <c r="D14" s="24">
        <f>IF(OR(20960.85018="",25536.01123="",20960.85018=0,25536.01123=0),"-",25536.01123/20960.85018*100)</f>
        <v>121.82717309036173</v>
      </c>
    </row>
    <row r="15" spans="1:4" ht="15.75">
      <c r="A15" s="8" t="s">
        <v>39</v>
      </c>
      <c r="B15" s="24">
        <f>IF(OR(-5570.05751="",-5570.05751=0),"-",-5570.05751)</f>
        <v>-5570.05751</v>
      </c>
      <c r="C15" s="24">
        <f>IF(OR(513.78506="",513.78506=0),"-",513.78506)</f>
        <v>513.78506</v>
      </c>
      <c r="D15" s="24" t="s">
        <v>30</v>
      </c>
    </row>
    <row r="16" spans="1:4" ht="15.75">
      <c r="A16" s="8" t="s">
        <v>40</v>
      </c>
      <c r="B16" s="24">
        <f>IF(OR(-3657.79009="",-3657.79009=0),"-",-3657.79009)</f>
        <v>-3657.79009</v>
      </c>
      <c r="C16" s="24">
        <f>IF(OR(-5273.46287="",-5273.46287=0),"-",-5273.46287)</f>
        <v>-5273.46287</v>
      </c>
      <c r="D16" s="24">
        <f>IF(OR(-3657.79009="",-5273.46287="",-3657.79009=0,-5273.46287=0),"-",-5273.46287/-3657.79009*100)</f>
        <v>144.17073534145862</v>
      </c>
    </row>
    <row r="17" spans="1:4" ht="15.75">
      <c r="A17" s="8" t="s">
        <v>41</v>
      </c>
      <c r="B17" s="24">
        <f>IF(OR(-407.97509="",-407.97509=0),"-",-407.97509)</f>
        <v>-407.97509</v>
      </c>
      <c r="C17" s="24">
        <f>IF(OR(-726.22886="",-726.22886=0),"-",-726.22886)</f>
        <v>-726.22886</v>
      </c>
      <c r="D17" s="24" t="s">
        <v>199</v>
      </c>
    </row>
    <row r="18" spans="1:4" ht="15.75">
      <c r="A18" s="8" t="s">
        <v>42</v>
      </c>
      <c r="B18" s="24">
        <f>IF(OR(-8763.19373="",-8763.19373=0),"-",-8763.19373)</f>
        <v>-8763.19373</v>
      </c>
      <c r="C18" s="24">
        <f>IF(OR(-9276.20604="",-9276.20604=0),"-",-9276.20604)</f>
        <v>-9276.20604</v>
      </c>
      <c r="D18" s="24">
        <f>IF(OR(-8763.19373="",-9276.20604="",-8763.19373=0,-9276.20604=0),"-",-9276.20604/-8763.19373*100)</f>
        <v>105.85417058901423</v>
      </c>
    </row>
    <row r="19" spans="1:4" ht="15.75">
      <c r="A19" s="9" t="s">
        <v>43</v>
      </c>
      <c r="B19" s="23">
        <f>IF(13381.64852="","-",13381.64852)</f>
        <v>13381.64852</v>
      </c>
      <c r="C19" s="23">
        <f>IF(24630.18572="","-",24630.18572)</f>
        <v>24630.18572</v>
      </c>
      <c r="D19" s="23" t="s">
        <v>199</v>
      </c>
    </row>
    <row r="20" spans="1:4" ht="15.75">
      <c r="A20" s="8" t="s">
        <v>44</v>
      </c>
      <c r="B20" s="24">
        <f>IF(OR(16753.89918="",16753.89918=0),"-",16753.89918)</f>
        <v>16753.89918</v>
      </c>
      <c r="C20" s="24">
        <f>IF(OR(23840.98157="",23840.98157=0),"-",23840.98157)</f>
        <v>23840.98157</v>
      </c>
      <c r="D20" s="24">
        <f>IF(OR(16753.89918="",23840.98157="",16753.89918=0,23840.98157=0),"-",23840.98157/16753.89918*100)</f>
        <v>142.30109250305276</v>
      </c>
    </row>
    <row r="21" spans="1:4" ht="15.75">
      <c r="A21" s="8" t="s">
        <v>45</v>
      </c>
      <c r="B21" s="24">
        <f>IF(OR(-3372.25066="",-3372.25066=0),"-",-3372.25066)</f>
        <v>-3372.25066</v>
      </c>
      <c r="C21" s="24">
        <f>IF(OR(789.20415="",789.20415=0),"-",789.20415)</f>
        <v>789.20415</v>
      </c>
      <c r="D21" s="24" t="s">
        <v>30</v>
      </c>
    </row>
    <row r="22" spans="1:4" ht="15.75">
      <c r="A22" s="9" t="s">
        <v>46</v>
      </c>
      <c r="B22" s="23">
        <f>IF(22271.04001="","-",22271.04001)</f>
        <v>22271.04001</v>
      </c>
      <c r="C22" s="23">
        <f>IF(31858.66652="","-",31858.66652)</f>
        <v>31858.66652</v>
      </c>
      <c r="D22" s="23">
        <f>IF(22271.04001="","-",31858.66652/22271.04001*100)</f>
        <v>143.04974759012163</v>
      </c>
    </row>
    <row r="23" spans="1:4" ht="15.75">
      <c r="A23" s="8" t="s">
        <v>47</v>
      </c>
      <c r="B23" s="24">
        <f>IF(OR(479.66608="",479.66608=0),"-",479.66608)</f>
        <v>479.66608</v>
      </c>
      <c r="C23" s="24">
        <f>IF(OR(828.05571="",828.05571=0),"-",828.05571)</f>
        <v>828.05571</v>
      </c>
      <c r="D23" s="24" t="s">
        <v>200</v>
      </c>
    </row>
    <row r="24" spans="1:4" ht="15.75">
      <c r="A24" s="8" t="s">
        <v>48</v>
      </c>
      <c r="B24" s="24">
        <f>IF(OR(25871.40369="",25871.40369=0),"-",25871.40369)</f>
        <v>25871.40369</v>
      </c>
      <c r="C24" s="24">
        <f>IF(OR(38044.16946="",38044.16946=0),"-",38044.16946)</f>
        <v>38044.16946</v>
      </c>
      <c r="D24" s="24">
        <f>IF(OR(25871.40369="",38044.16946="",25871.40369=0,38044.16946=0),"-",38044.16946/25871.40369*100)</f>
        <v>147.05104491375204</v>
      </c>
    </row>
    <row r="25" spans="1:4" ht="15.75">
      <c r="A25" s="8" t="s">
        <v>49</v>
      </c>
      <c r="B25" s="24">
        <f>IF(OR(-79.96171="",-79.96171=0),"-",-79.96171)</f>
        <v>-79.96171</v>
      </c>
      <c r="C25" s="24">
        <f>IF(OR(-136.10875="",-136.10875=0),"-",-136.10875)</f>
        <v>-136.10875</v>
      </c>
      <c r="D25" s="24" t="s">
        <v>200</v>
      </c>
    </row>
    <row r="26" spans="1:4" ht="15.75">
      <c r="A26" s="8" t="s">
        <v>50</v>
      </c>
      <c r="B26" s="24">
        <f>IF(OR(-2762.10997="",-2762.10997=0),"-",-2762.10997)</f>
        <v>-2762.10997</v>
      </c>
      <c r="C26" s="24">
        <f>IF(OR(-3357.72706="",-3357.72706=0),"-",-3357.72706)</f>
        <v>-3357.72706</v>
      </c>
      <c r="D26" s="24">
        <f>IF(OR(-2762.10997="",-3357.72706="",-2762.10997=0,-3357.72706=0),"-",-3357.72706/-2762.10997*100)</f>
        <v>121.56384417960014</v>
      </c>
    </row>
    <row r="27" spans="1:4" ht="15.75">
      <c r="A27" s="8" t="s">
        <v>51</v>
      </c>
      <c r="B27" s="24">
        <f>IF(OR(314.04835="",314.04835=0),"-",314.04835)</f>
        <v>314.04835</v>
      </c>
      <c r="C27" s="24">
        <f>IF(OR(436.70212="",436.70212=0),"-",436.70212)</f>
        <v>436.70212</v>
      </c>
      <c r="D27" s="24">
        <f>IF(OR(314.04835="",436.70212="",314.04835=0,436.70212=0),"-",436.70212/314.04835*100)</f>
        <v>139.0556963601305</v>
      </c>
    </row>
    <row r="28" spans="1:4" ht="25.5">
      <c r="A28" s="8" t="s">
        <v>52</v>
      </c>
      <c r="B28" s="24">
        <f>IF(OR(-1098.70903="",-1098.70903=0),"-",-1098.70903)</f>
        <v>-1098.70903</v>
      </c>
      <c r="C28" s="24">
        <f>IF(OR(-1360.28081="",-1360.28081=0),"-",-1360.28081)</f>
        <v>-1360.28081</v>
      </c>
      <c r="D28" s="24">
        <f>IF(OR(-1098.70903="",-1360.28081="",-1098.70903=0,-1360.28081=0),"-",-1360.28081/-1098.70903*100)</f>
        <v>123.8071930654834</v>
      </c>
    </row>
    <row r="29" spans="1:4" ht="25.5">
      <c r="A29" s="8" t="s">
        <v>53</v>
      </c>
      <c r="B29" s="24">
        <f>IF(OR(237.19697="",237.19697=0),"-",237.19697)</f>
        <v>237.19697</v>
      </c>
      <c r="C29" s="24">
        <f>IF(OR(-1.60976="",-1.60976=0),"-",-1.60976)</f>
        <v>-1.60976</v>
      </c>
      <c r="D29" s="24" t="s">
        <v>30</v>
      </c>
    </row>
    <row r="30" spans="1:4" ht="15.75">
      <c r="A30" s="8" t="s">
        <v>54</v>
      </c>
      <c r="B30" s="24">
        <f>IF(OR(2645.12619="",2645.12619=0),"-",2645.12619)</f>
        <v>2645.12619</v>
      </c>
      <c r="C30" s="24">
        <f>IF(OR(2419.27029="",2419.27029=0),"-",2419.27029)</f>
        <v>2419.27029</v>
      </c>
      <c r="D30" s="24">
        <f>IF(OR(2645.12619="",2419.27029="",2645.12619=0,2419.27029=0),"-",2419.27029/2645.12619*100)</f>
        <v>91.46143194022815</v>
      </c>
    </row>
    <row r="31" spans="1:4" ht="15.75">
      <c r="A31" s="8" t="s">
        <v>55</v>
      </c>
      <c r="B31" s="24">
        <f>IF(OR(-3335.62056="",-3335.62056=0),"-",-3335.62056)</f>
        <v>-3335.62056</v>
      </c>
      <c r="C31" s="24">
        <f>IF(OR(-5013.80468="",-5013.80468=0),"-",-5013.80468)</f>
        <v>-5013.80468</v>
      </c>
      <c r="D31" s="24">
        <f>IF(OR(-3335.62056="",-5013.80468="",-3335.62056=0,-5013.80468=0),"-",-5013.80468/-3335.62056*100)</f>
        <v>150.31100180051655</v>
      </c>
    </row>
    <row r="32" spans="1:4" ht="15.75">
      <c r="A32" s="9" t="s">
        <v>56</v>
      </c>
      <c r="B32" s="23">
        <f>IF(-115983.11799="","-",-115983.11799)</f>
        <v>-115983.11799</v>
      </c>
      <c r="C32" s="23">
        <f>IF(-143301.18676="","-",-143301.18676)</f>
        <v>-143301.18676</v>
      </c>
      <c r="D32" s="23">
        <f>IF(-115983.11799="","-",-143301.18676/-115983.11799*100)</f>
        <v>123.55348713108003</v>
      </c>
    </row>
    <row r="33" spans="1:4" ht="15.75">
      <c r="A33" s="8" t="s">
        <v>57</v>
      </c>
      <c r="B33" s="24">
        <f>IF(OR(-2647.72063="",-2647.72063=0),"-",-2647.72063)</f>
        <v>-2647.72063</v>
      </c>
      <c r="C33" s="24">
        <f>IF(OR(-1176.62126="",-1176.62126=0),"-",-1176.62126)</f>
        <v>-1176.62126</v>
      </c>
      <c r="D33" s="24">
        <f>IF(OR(-2647.72063="",-1176.62126="",-2647.72063=0,-1176.62126=0),"-",-1176.62126/-2647.72063*100)</f>
        <v>44.439026031232004</v>
      </c>
    </row>
    <row r="34" spans="1:4" ht="15.75">
      <c r="A34" s="8" t="s">
        <v>58</v>
      </c>
      <c r="B34" s="24">
        <f>IF(OR(-54838.31946="",-54838.31946=0),"-",-54838.31946)</f>
        <v>-54838.31946</v>
      </c>
      <c r="C34" s="24">
        <f>IF(OR(-66286.56839="",-66286.56839=0),"-",-66286.56839)</f>
        <v>-66286.56839</v>
      </c>
      <c r="D34" s="24">
        <f>IF(OR(-54838.31946="",-66286.56839="",-54838.31946=0,-66286.56839=0),"-",-66286.56839/-54838.31946*100)</f>
        <v>120.87636718763883</v>
      </c>
    </row>
    <row r="35" spans="1:4" ht="15.75">
      <c r="A35" s="8" t="s">
        <v>59</v>
      </c>
      <c r="B35" s="24">
        <f>IF(OR(-58497.52273="",-58497.52273=0),"-",-58497.52273)</f>
        <v>-58497.52273</v>
      </c>
      <c r="C35" s="24">
        <f>IF(OR(-70500.84243="",-70500.84243=0),"-",-70500.84243)</f>
        <v>-70500.84243</v>
      </c>
      <c r="D35" s="24">
        <f>IF(OR(-58497.52273="",-70500.84243="",-58497.52273=0,-70500.84243=0),"-",-70500.84243/-58497.52273*100)</f>
        <v>120.51936413684096</v>
      </c>
    </row>
    <row r="36" spans="1:4" ht="15.75">
      <c r="A36" s="8" t="s">
        <v>60</v>
      </c>
      <c r="B36" s="24">
        <f>IF(OR(0.44483="",0.44483=0),"-",0.44483)</f>
        <v>0.44483</v>
      </c>
      <c r="C36" s="24">
        <f>IF(OR(-5337.15468="",-5337.15468=0),"-",-5337.15468)</f>
        <v>-5337.15468</v>
      </c>
      <c r="D36" s="24" t="s">
        <v>30</v>
      </c>
    </row>
    <row r="37" spans="1:4" ht="15.75">
      <c r="A37" s="9" t="s">
        <v>61</v>
      </c>
      <c r="B37" s="23">
        <f>IF(11064.30179="","-",11064.30179)</f>
        <v>11064.30179</v>
      </c>
      <c r="C37" s="23">
        <f>IF(12662.1179="","-",12662.1179)</f>
        <v>12662.1179</v>
      </c>
      <c r="D37" s="23">
        <f>IF(11064.30179="","-",12662.1179/11064.30179*100)</f>
        <v>114.44118336905919</v>
      </c>
    </row>
    <row r="38" spans="1:4" ht="15.75">
      <c r="A38" s="8" t="s">
        <v>62</v>
      </c>
      <c r="B38" s="24">
        <f>IF(OR(-129.76376="",-129.76376=0),"-",-129.76376)</f>
        <v>-129.76376</v>
      </c>
      <c r="C38" s="24">
        <f>IF(OR(-200.97129="",-200.97129=0),"-",-200.97129)</f>
        <v>-200.97129</v>
      </c>
      <c r="D38" s="24">
        <f>IF(OR(-129.76376="",-200.97129="",-129.76376=0,-200.97129=0),"-",-200.97129/-129.76376*100)</f>
        <v>154.8747431486264</v>
      </c>
    </row>
    <row r="39" spans="1:4" ht="25.5">
      <c r="A39" s="8" t="s">
        <v>63</v>
      </c>
      <c r="B39" s="24">
        <f>IF(OR(11514.55693="",11514.55693=0),"-",11514.55693)</f>
        <v>11514.55693</v>
      </c>
      <c r="C39" s="24">
        <f>IF(OR(13340.08061="",13340.08061=0),"-",13340.08061)</f>
        <v>13340.08061</v>
      </c>
      <c r="D39" s="24">
        <f>IF(OR(11514.55693="",13340.08061="",11514.55693=0,13340.08061=0),"-",13340.08061/11514.55693*100)</f>
        <v>115.85405058221376</v>
      </c>
    </row>
    <row r="40" spans="1:4" ht="25.5">
      <c r="A40" s="8" t="s">
        <v>64</v>
      </c>
      <c r="B40" s="24">
        <f>IF(OR(-320.49138="",-320.49138=0),"-",-320.49138)</f>
        <v>-320.49138</v>
      </c>
      <c r="C40" s="24">
        <f>IF(OR(-476.99142="",-476.99142=0),"-",-476.99142)</f>
        <v>-476.99142</v>
      </c>
      <c r="D40" s="24">
        <f>IF(OR(-320.49138="",-476.99142="",-320.49138=0,-476.99142=0),"-",-476.99142/-320.49138*100)</f>
        <v>148.8312790191112</v>
      </c>
    </row>
    <row r="41" spans="1:4" ht="25.5">
      <c r="A41" s="9" t="s">
        <v>65</v>
      </c>
      <c r="B41" s="23">
        <f>IF(-66087.63213="","-",-66087.63213)</f>
        <v>-66087.63213</v>
      </c>
      <c r="C41" s="23">
        <f>IF(-90820.84977="","-",-90820.84977)</f>
        <v>-90820.84977</v>
      </c>
      <c r="D41" s="23">
        <f>IF(-66087.63213="","-",-90820.84977/-66087.63213*100)</f>
        <v>137.42488093891404</v>
      </c>
    </row>
    <row r="42" spans="1:4" ht="15.75">
      <c r="A42" s="8" t="s">
        <v>66</v>
      </c>
      <c r="B42" s="24">
        <f>IF(OR(1177.57727="",1177.57727=0),"-",1177.57727)</f>
        <v>1177.57727</v>
      </c>
      <c r="C42" s="24">
        <f>IF(OR(36.89678="",36.89678=0),"-",36.89678)</f>
        <v>36.89678</v>
      </c>
      <c r="D42" s="24">
        <f>IF(OR(1177.57727="",36.89678="",1177.57727=0,36.89678=0),"-",36.89678/1177.57727*100)</f>
        <v>3.1332788887815406</v>
      </c>
    </row>
    <row r="43" spans="1:4" ht="15.75">
      <c r="A43" s="8" t="s">
        <v>67</v>
      </c>
      <c r="B43" s="24">
        <f>IF(OR(-1533.81447="",-1533.81447=0),"-",-1533.81447)</f>
        <v>-1533.81447</v>
      </c>
      <c r="C43" s="24">
        <f>IF(OR(-1568.27044="",-1568.27044=0),"-",-1568.27044)</f>
        <v>-1568.27044</v>
      </c>
      <c r="D43" s="24">
        <f>IF(OR(-1533.81447="",-1568.27044="",-1533.81447=0,-1568.27044=0),"-",-1568.27044/-1533.81447*100)</f>
        <v>102.24642358472468</v>
      </c>
    </row>
    <row r="44" spans="1:4" ht="15.75">
      <c r="A44" s="8" t="s">
        <v>68</v>
      </c>
      <c r="B44" s="24">
        <f>IF(OR(-2065.2863="",-2065.2863=0),"-",-2065.2863)</f>
        <v>-2065.2863</v>
      </c>
      <c r="C44" s="24">
        <f>IF(OR(-3198.67434="",-3198.67434=0),"-",-3198.67434)</f>
        <v>-3198.67434</v>
      </c>
      <c r="D44" s="24">
        <f>IF(OR(-2065.2863="",-3198.67434="",-2065.2863=0,-3198.67434=0),"-",-3198.67434/-2065.2863*100)</f>
        <v>154.87801085980183</v>
      </c>
    </row>
    <row r="45" spans="1:4" ht="15.75">
      <c r="A45" s="8" t="s">
        <v>69</v>
      </c>
      <c r="B45" s="24">
        <f>IF(OR(-21207.24468="",-21207.24468=0),"-",-21207.24468)</f>
        <v>-21207.24468</v>
      </c>
      <c r="C45" s="24">
        <f>IF(OR(-21665.1076="",-21665.1076=0),"-",-21665.1076)</f>
        <v>-21665.1076</v>
      </c>
      <c r="D45" s="24">
        <f>IF(OR(-21207.24468="",-21665.1076="",-21207.24468=0,-21665.1076=0),"-",-21665.1076/-21207.24468*100)</f>
        <v>102.15899296164483</v>
      </c>
    </row>
    <row r="46" spans="1:4" ht="25.5">
      <c r="A46" s="8" t="s">
        <v>70</v>
      </c>
      <c r="B46" s="24">
        <f>IF(OR(-9968.13097="",-9968.13097=0),"-",-9968.13097)</f>
        <v>-9968.13097</v>
      </c>
      <c r="C46" s="24">
        <f>IF(OR(-11895.25024="",-11895.25024=0),"-",-11895.25024)</f>
        <v>-11895.25024</v>
      </c>
      <c r="D46" s="24">
        <f>IF(OR(-9968.13097="",-11895.25024="",-9968.13097=0,-11895.25024=0),"-",-11895.25024/-9968.13097*100)</f>
        <v>119.33280447257204</v>
      </c>
    </row>
    <row r="47" spans="1:4" ht="15.75">
      <c r="A47" s="8" t="s">
        <v>71</v>
      </c>
      <c r="B47" s="24">
        <f>IF(OR(-10518.05913="",-10518.05913=0),"-",-10518.05913)</f>
        <v>-10518.05913</v>
      </c>
      <c r="C47" s="24">
        <f>IF(OR(-17390.42168="",-17390.42168=0),"-",-17390.42168)</f>
        <v>-17390.42168</v>
      </c>
      <c r="D47" s="24" t="s">
        <v>200</v>
      </c>
    </row>
    <row r="48" spans="1:4" ht="15.75">
      <c r="A48" s="8" t="s">
        <v>72</v>
      </c>
      <c r="B48" s="24">
        <f>IF(OR(-4490.83378="",-4490.83378=0),"-",-4490.83378)</f>
        <v>-4490.83378</v>
      </c>
      <c r="C48" s="24">
        <f>IF(OR(-6410.02706="",-6410.02706=0),"-",-6410.02706)</f>
        <v>-6410.02706</v>
      </c>
      <c r="D48" s="24">
        <f>IF(OR(-4490.83378="",-6410.02706="",-4490.83378=0,-6410.02706=0),"-",-6410.02706/-4490.83378*100)</f>
        <v>142.73578970005877</v>
      </c>
    </row>
    <row r="49" spans="1:4" ht="15.75">
      <c r="A49" s="8" t="s">
        <v>73</v>
      </c>
      <c r="B49" s="24">
        <f>IF(OR(-9342.0356="",-9342.0356=0),"-",-9342.0356)</f>
        <v>-9342.0356</v>
      </c>
      <c r="C49" s="24">
        <f>IF(OR(-13170.27865="",-13170.27865=0),"-",-13170.27865)</f>
        <v>-13170.27865</v>
      </c>
      <c r="D49" s="24">
        <f>IF(OR(-9342.0356="",-13170.27865="",-9342.0356=0,-13170.27865=0),"-",-13170.27865/-9342.0356*100)</f>
        <v>140.97868188384984</v>
      </c>
    </row>
    <row r="50" spans="1:4" ht="15.75">
      <c r="A50" s="8" t="s">
        <v>74</v>
      </c>
      <c r="B50" s="24">
        <f>IF(OR(-8139.80447="",-8139.80447=0),"-",-8139.80447)</f>
        <v>-8139.80447</v>
      </c>
      <c r="C50" s="24">
        <f>IF(OR(-15559.71654="",-15559.71654=0),"-",-15559.71654)</f>
        <v>-15559.71654</v>
      </c>
      <c r="D50" s="24" t="s">
        <v>202</v>
      </c>
    </row>
    <row r="51" spans="1:4" ht="25.5">
      <c r="A51" s="9" t="s">
        <v>75</v>
      </c>
      <c r="B51" s="23">
        <f>IF(-85450.11069="","-",-85450.11069)</f>
        <v>-85450.11069</v>
      </c>
      <c r="C51" s="23">
        <f>IF(-130322.93958="","-",-130322.93958)</f>
        <v>-130322.93958</v>
      </c>
      <c r="D51" s="23">
        <f>IF(-85450.11069="","-",-130322.93958/-85450.11069*100)</f>
        <v>152.51348246088503</v>
      </c>
    </row>
    <row r="52" spans="1:4" ht="15.75">
      <c r="A52" s="8" t="s">
        <v>76</v>
      </c>
      <c r="B52" s="24">
        <f>IF(OR(-5837.52081="",-5837.52081=0),"-",-5837.52081)</f>
        <v>-5837.52081</v>
      </c>
      <c r="C52" s="24">
        <f>IF(OR(-10621.51163="",-10621.51163=0),"-",-10621.51163)</f>
        <v>-10621.51163</v>
      </c>
      <c r="D52" s="24" t="s">
        <v>199</v>
      </c>
    </row>
    <row r="53" spans="1:4" ht="15.75">
      <c r="A53" s="8" t="s">
        <v>77</v>
      </c>
      <c r="B53" s="24">
        <f>IF(OR(-6309.868="",-6309.868=0),"-",-6309.868)</f>
        <v>-6309.868</v>
      </c>
      <c r="C53" s="24">
        <f>IF(OR(-8708.59877="",-8708.59877=0),"-",-8708.59877)</f>
        <v>-8708.59877</v>
      </c>
      <c r="D53" s="24">
        <f>IF(OR(-6309.868="",-8708.59877="",-6309.868=0,-8708.59877=0),"-",-8708.59877/-6309.868*100)</f>
        <v>138.01554596704716</v>
      </c>
    </row>
    <row r="54" spans="1:4" ht="15.75">
      <c r="A54" s="8" t="s">
        <v>78</v>
      </c>
      <c r="B54" s="24">
        <f>IF(OR(-5115.59702="",-5115.59702=0),"-",-5115.59702)</f>
        <v>-5115.59702</v>
      </c>
      <c r="C54" s="24">
        <f>IF(OR(-7856.90417="",-7856.90417=0),"-",-7856.90417)</f>
        <v>-7856.90417</v>
      </c>
      <c r="D54" s="24">
        <f>IF(OR(-5115.59702="",-7856.90417="",-5115.59702=0,-7856.90417=0),"-",-7856.90417/-5115.59702*100)</f>
        <v>153.587237995537</v>
      </c>
    </row>
    <row r="55" spans="1:4" ht="25.5">
      <c r="A55" s="8" t="s">
        <v>79</v>
      </c>
      <c r="B55" s="24">
        <f>IF(OR(-10099.00843="",-10099.00843=0),"-",-10099.00843)</f>
        <v>-10099.00843</v>
      </c>
      <c r="C55" s="24">
        <f>IF(OR(-13072.88593="",-13072.88593=0),"-",-13072.88593)</f>
        <v>-13072.88593</v>
      </c>
      <c r="D55" s="24">
        <f>IF(OR(-10099.00843="",-13072.88593="",-10099.00843=0,-13072.88593=0),"-",-13072.88593/-10099.00843*100)</f>
        <v>129.44722267154302</v>
      </c>
    </row>
    <row r="56" spans="1:4" ht="25.5">
      <c r="A56" s="8" t="s">
        <v>80</v>
      </c>
      <c r="B56" s="24">
        <f>IF(OR(-25027.40082="",-25027.40082=0),"-",-25027.40082)</f>
        <v>-25027.40082</v>
      </c>
      <c r="C56" s="24">
        <f>IF(OR(-35791.71289="",-35791.71289=0),"-",-35791.71289)</f>
        <v>-35791.71289</v>
      </c>
      <c r="D56" s="24">
        <f>IF(OR(-25027.40082="",-35791.71289="",-25027.40082=0,-35791.71289=0),"-",-35791.71289/-25027.40082*100)</f>
        <v>143.0101077911294</v>
      </c>
    </row>
    <row r="57" spans="1:4" ht="15.75">
      <c r="A57" s="8" t="s">
        <v>81</v>
      </c>
      <c r="B57" s="24">
        <f>IF(OR(-5818.2804="",-5818.2804=0),"-",-5818.2804)</f>
        <v>-5818.2804</v>
      </c>
      <c r="C57" s="24">
        <f>IF(OR(-8065.11694="",-8065.11694=0),"-",-8065.11694)</f>
        <v>-8065.11694</v>
      </c>
      <c r="D57" s="24">
        <f>IF(OR(-5818.2804="",-8065.11694="",-5818.2804=0,-8065.11694=0),"-",-8065.11694/-5818.2804*100)</f>
        <v>138.61684871701956</v>
      </c>
    </row>
    <row r="58" spans="1:4" ht="15.75">
      <c r="A58" s="8" t="s">
        <v>82</v>
      </c>
      <c r="B58" s="24">
        <f>IF(OR(-9082.0257="",-9082.0257=0),"-",-9082.0257)</f>
        <v>-9082.0257</v>
      </c>
      <c r="C58" s="24">
        <f>IF(OR(-13268.79445="",-13268.79445=0),"-",-13268.79445)</f>
        <v>-13268.79445</v>
      </c>
      <c r="D58" s="24">
        <f>IF(OR(-9082.0257="",-13268.79445="",-9082.0257=0,-13268.79445=0),"-",-13268.79445/-9082.0257*100)</f>
        <v>146.09950344007504</v>
      </c>
    </row>
    <row r="59" spans="1:4" ht="15.75">
      <c r="A59" s="8" t="s">
        <v>83</v>
      </c>
      <c r="B59" s="24">
        <f>IF(OR(-7372.157="",-7372.157=0),"-",-7372.157)</f>
        <v>-7372.157</v>
      </c>
      <c r="C59" s="24">
        <f>IF(OR(-15507.41037="",-15507.41037=0),"-",-15507.41037)</f>
        <v>-15507.41037</v>
      </c>
      <c r="D59" s="24" t="s">
        <v>175</v>
      </c>
    </row>
    <row r="60" spans="1:4" ht="15.75">
      <c r="A60" s="8" t="s">
        <v>84</v>
      </c>
      <c r="B60" s="24">
        <f>IF(OR(-10788.25251="",-10788.25251=0),"-",-10788.25251)</f>
        <v>-10788.25251</v>
      </c>
      <c r="C60" s="24">
        <f>IF(OR(-17430.00443="",-17430.00443=0),"-",-17430.00443)</f>
        <v>-17430.00443</v>
      </c>
      <c r="D60" s="24" t="s">
        <v>201</v>
      </c>
    </row>
    <row r="61" spans="1:4" ht="15.75">
      <c r="A61" s="9" t="s">
        <v>85</v>
      </c>
      <c r="B61" s="23">
        <f>IF(-69373.75235="","-",-69373.75235)</f>
        <v>-69373.75235</v>
      </c>
      <c r="C61" s="23">
        <f>IF(-104657.38947="","-",-104657.38947)</f>
        <v>-104657.38947</v>
      </c>
      <c r="D61" s="23">
        <f>IF(-69373.75235="","-",-104657.38947/-69373.75235*100)</f>
        <v>150.86021142692306</v>
      </c>
    </row>
    <row r="62" spans="1:4" ht="15.75">
      <c r="A62" s="8" t="s">
        <v>86</v>
      </c>
      <c r="B62" s="24">
        <f>IF(OR(-2004.42633="",-2004.42633=0),"-",-2004.42633)</f>
        <v>-2004.42633</v>
      </c>
      <c r="C62" s="24">
        <f>IF(OR(-3205.62869="",-3205.62869=0),"-",-3205.62869)</f>
        <v>-3205.62869</v>
      </c>
      <c r="D62" s="24" t="s">
        <v>201</v>
      </c>
    </row>
    <row r="63" spans="1:4" ht="15.75">
      <c r="A63" s="8" t="s">
        <v>87</v>
      </c>
      <c r="B63" s="24">
        <f>IF(OR(-13530.21844="",-13530.21844=0),"-",-13530.21844)</f>
        <v>-13530.21844</v>
      </c>
      <c r="C63" s="24">
        <f>IF(OR(-22164.60975="",-22164.60975=0),"-",-22164.60975)</f>
        <v>-22164.60975</v>
      </c>
      <c r="D63" s="24" t="s">
        <v>201</v>
      </c>
    </row>
    <row r="64" spans="1:4" ht="15.75">
      <c r="A64" s="8" t="s">
        <v>88</v>
      </c>
      <c r="B64" s="24">
        <f>IF(OR(-891.92749="",-891.92749=0),"-",-891.92749)</f>
        <v>-891.92749</v>
      </c>
      <c r="C64" s="24">
        <f>IF(OR(-1310.17377="",-1310.17377=0),"-",-1310.17377)</f>
        <v>-1310.17377</v>
      </c>
      <c r="D64" s="24">
        <f>IF(OR(-891.92749="",-1310.17377="",-891.92749=0,-1310.17377=0),"-",-1310.17377/-891.92749*100)</f>
        <v>146.892408260676</v>
      </c>
    </row>
    <row r="65" spans="1:4" ht="25.5">
      <c r="A65" s="8" t="s">
        <v>89</v>
      </c>
      <c r="B65" s="24">
        <f>IF(OR(-11888.48543="",-11888.48543=0),"-",-11888.48543)</f>
        <v>-11888.48543</v>
      </c>
      <c r="C65" s="24">
        <f>IF(OR(-17152.9717="",-17152.9717=0),"-",-17152.9717)</f>
        <v>-17152.9717</v>
      </c>
      <c r="D65" s="24">
        <f>IF(OR(-11888.48543="",-17152.9717="",-11888.48543=0,-17152.9717=0),"-",-17152.9717/-11888.48543*100)</f>
        <v>144.28222838811183</v>
      </c>
    </row>
    <row r="66" spans="1:4" ht="25.5">
      <c r="A66" s="8" t="s">
        <v>90</v>
      </c>
      <c r="B66" s="24">
        <f>IF(OR(-5712.12434="",-5712.12434=0),"-",-5712.12434)</f>
        <v>-5712.12434</v>
      </c>
      <c r="C66" s="24">
        <f>IF(OR(-9195.81166="",-9195.81166=0),"-",-9195.81166)</f>
        <v>-9195.81166</v>
      </c>
      <c r="D66" s="24" t="s">
        <v>201</v>
      </c>
    </row>
    <row r="67" spans="1:4" ht="25.5">
      <c r="A67" s="8" t="s">
        <v>91</v>
      </c>
      <c r="B67" s="24">
        <f>IF(OR(-13124.69221="",-13124.69221=0),"-",-13124.69221)</f>
        <v>-13124.69221</v>
      </c>
      <c r="C67" s="24">
        <f>IF(OR(-20653.24268="",-20653.24268=0),"-",-20653.24268)</f>
        <v>-20653.24268</v>
      </c>
      <c r="D67" s="24" t="s">
        <v>201</v>
      </c>
    </row>
    <row r="68" spans="1:4" ht="38.25">
      <c r="A68" s="8" t="s">
        <v>92</v>
      </c>
      <c r="B68" s="24">
        <f>IF(OR(4031.90228="",4031.90228=0),"-",4031.90228)</f>
        <v>4031.90228</v>
      </c>
      <c r="C68" s="24">
        <f>IF(OR(5869.60684="",5869.60684=0),"-",5869.60684)</f>
        <v>5869.60684</v>
      </c>
      <c r="D68" s="24">
        <f>IF(OR(4031.90228="",5869.60684="",4031.90228=0,5869.60684=0),"-",5869.60684/4031.90228*100)</f>
        <v>145.57909473936954</v>
      </c>
    </row>
    <row r="69" spans="1:4" ht="15.75">
      <c r="A69" s="8" t="s">
        <v>93</v>
      </c>
      <c r="B69" s="24">
        <f>IF(OR(-26123.95431="",-26123.95431=0),"-",-26123.95431)</f>
        <v>-26123.95431</v>
      </c>
      <c r="C69" s="24">
        <f>IF(OR(-36647.48668="",-36647.48668=0),"-",-36647.48668)</f>
        <v>-36647.48668</v>
      </c>
      <c r="D69" s="24">
        <f>IF(OR(-26123.95431="",-36647.48668="",-26123.95431=0,-36647.48668=0),"-",-36647.48668/-26123.95431*100)</f>
        <v>140.28307600420084</v>
      </c>
    </row>
    <row r="70" spans="1:4" ht="15.75">
      <c r="A70" s="8" t="s">
        <v>94</v>
      </c>
      <c r="B70" s="24">
        <f>IF(OR(-129.82608="",-129.82608=0),"-",-129.82608)</f>
        <v>-129.82608</v>
      </c>
      <c r="C70" s="24">
        <f>IF(OR(-197.07138="",-197.07138=0),"-",-197.07138)</f>
        <v>-197.07138</v>
      </c>
      <c r="D70" s="24">
        <f>IF(OR(-129.82608="",-197.07138="",-129.82608=0,-197.07138=0),"-",-197.07138/-129.82608*100)</f>
        <v>151.79644952693636</v>
      </c>
    </row>
    <row r="71" spans="1:4" ht="15.75">
      <c r="A71" s="9" t="s">
        <v>95</v>
      </c>
      <c r="B71" s="23">
        <f>IF(8092.32226="","-",8092.32226)</f>
        <v>8092.32226</v>
      </c>
      <c r="C71" s="23">
        <f>IF(16835.49328="","-",16835.49328)</f>
        <v>16835.49328</v>
      </c>
      <c r="D71" s="23" t="s">
        <v>175</v>
      </c>
    </row>
    <row r="72" spans="1:4" ht="25.5">
      <c r="A72" s="8" t="s">
        <v>96</v>
      </c>
      <c r="B72" s="24">
        <f>IF(OR(-2910.16013="",-2910.16013=0),"-",-2910.16013)</f>
        <v>-2910.16013</v>
      </c>
      <c r="C72" s="24">
        <f>IF(OR(-4129.02763="",-4129.02763=0),"-",-4129.02763)</f>
        <v>-4129.02763</v>
      </c>
      <c r="D72" s="24">
        <f>IF(OR(-2910.16013="",-4129.02763="",-2910.16013=0,-4129.02763=0),"-",-4129.02763/-2910.16013*100)</f>
        <v>141.88317637352824</v>
      </c>
    </row>
    <row r="73" spans="1:4" ht="15.75">
      <c r="A73" s="8" t="s">
        <v>97</v>
      </c>
      <c r="B73" s="24">
        <f>IF(OR(12100.90163="",12100.90163=0),"-",12100.90163)</f>
        <v>12100.90163</v>
      </c>
      <c r="C73" s="24">
        <f>IF(OR(18770.22875="",18770.22875=0),"-",18770.22875)</f>
        <v>18770.22875</v>
      </c>
      <c r="D73" s="24" t="s">
        <v>201</v>
      </c>
    </row>
    <row r="74" spans="1:4" ht="15.75">
      <c r="A74" s="8" t="s">
        <v>98</v>
      </c>
      <c r="B74" s="24">
        <f>IF(OR(-2509.41189="",-2509.41189=0),"-",-2509.41189)</f>
        <v>-2509.41189</v>
      </c>
      <c r="C74" s="24">
        <f>IF(OR(1074.84529="",1074.84529=0),"-",1074.84529)</f>
        <v>1074.84529</v>
      </c>
      <c r="D74" s="24" t="s">
        <v>30</v>
      </c>
    </row>
    <row r="75" spans="1:4" ht="15.75">
      <c r="A75" s="8" t="s">
        <v>99</v>
      </c>
      <c r="B75" s="24">
        <f>IF(OR(22056.00208="",22056.00208=0),"-",22056.00208)</f>
        <v>22056.00208</v>
      </c>
      <c r="C75" s="24">
        <f>IF(OR(27815.43081="",27815.43081=0),"-",27815.43081)</f>
        <v>27815.43081</v>
      </c>
      <c r="D75" s="24">
        <f>IF(OR(22056.00208="",27815.43081="",22056.00208=0,27815.43081=0),"-",27815.43081/22056.00208*100)</f>
        <v>126.11275021243561</v>
      </c>
    </row>
    <row r="76" spans="1:4" ht="15.75">
      <c r="A76" s="8" t="s">
        <v>100</v>
      </c>
      <c r="B76" s="24">
        <f>IF(OR(107.31984="",107.31984=0),"-",107.31984)</f>
        <v>107.31984</v>
      </c>
      <c r="C76" s="24">
        <f>IF(OR(-481.84821="",-481.84821=0),"-",-481.84821)</f>
        <v>-481.84821</v>
      </c>
      <c r="D76" s="24" t="s">
        <v>30</v>
      </c>
    </row>
    <row r="77" spans="1:4" ht="15.75">
      <c r="A77" s="8" t="s">
        <v>101</v>
      </c>
      <c r="B77" s="24">
        <f>IF(OR(-3751.30973="",-3751.30973=0),"-",-3751.30973)</f>
        <v>-3751.30973</v>
      </c>
      <c r="C77" s="24">
        <f>IF(OR(-5083.42455="",-5083.42455=0),"-",-5083.42455)</f>
        <v>-5083.42455</v>
      </c>
      <c r="D77" s="24">
        <f>IF(OR(-3751.30973="",-5083.42455="",-3751.30973=0,-5083.42455=0),"-",-5083.42455/-3751.30973*100)</f>
        <v>135.5106593664288</v>
      </c>
    </row>
    <row r="78" spans="1:4" ht="25.5">
      <c r="A78" s="8" t="s">
        <v>102</v>
      </c>
      <c r="B78" s="24">
        <f>IF(OR(-1104.12296="",-1104.12296=0),"-",-1104.12296)</f>
        <v>-1104.12296</v>
      </c>
      <c r="C78" s="24">
        <f>IF(OR(-1037.95944="",-1037.95944=0),"-",-1037.95944)</f>
        <v>-1037.95944</v>
      </c>
      <c r="D78" s="24">
        <f>IF(OR(-1104.12296="",-1037.95944="",-1104.12296=0,-1037.95944=0),"-",-1037.95944/-1104.12296*100)</f>
        <v>94.00759495120002</v>
      </c>
    </row>
    <row r="79" spans="1:4" ht="15.75">
      <c r="A79" s="11" t="s">
        <v>103</v>
      </c>
      <c r="B79" s="24">
        <f>IF(OR(-15896.89658="",-15896.89658=0),"-",-15896.89658)</f>
        <v>-15896.89658</v>
      </c>
      <c r="C79" s="24">
        <f>IF(OR(-20092.75174="",-20092.75174=0),"-",-20092.75174)</f>
        <v>-20092.75174</v>
      </c>
      <c r="D79" s="24">
        <f>IF(OR(-15896.89658="",-20092.75174="",-15896.89658=0,-20092.75174=0),"-",-20092.75174/-15896.89658*100)</f>
        <v>126.39417787544038</v>
      </c>
    </row>
    <row r="80" spans="1:4" ht="15.75">
      <c r="A80" s="96" t="s">
        <v>26</v>
      </c>
      <c r="B80" s="96"/>
      <c r="C80" s="96"/>
      <c r="D80" s="96"/>
    </row>
    <row r="81" spans="2:4" ht="15.75">
      <c r="B81" s="18"/>
      <c r="C81" s="41"/>
      <c r="D81" s="19"/>
    </row>
    <row r="82" spans="2:4" ht="15.75">
      <c r="B82" s="18"/>
      <c r="C82" s="18"/>
      <c r="D82" s="19"/>
    </row>
    <row r="83" spans="2:4" ht="15.75">
      <c r="B83" s="18"/>
      <c r="C83" s="18"/>
      <c r="D83" s="19"/>
    </row>
    <row r="84" ht="15.75">
      <c r="C84" s="18"/>
    </row>
  </sheetData>
  <sheetProtection/>
  <mergeCells count="6">
    <mergeCell ref="A80:D80"/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2018-04-04T13:05:44Z</cp:lastPrinted>
  <dcterms:created xsi:type="dcterms:W3CDTF">2016-09-01T07:59:47Z</dcterms:created>
  <dcterms:modified xsi:type="dcterms:W3CDTF">2018-04-05T12:47:35Z</dcterms:modified>
  <cp:category/>
  <cp:version/>
  <cp:contentType/>
  <cp:contentStatus/>
</cp:coreProperties>
</file>